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endra Lederer\Desktop\"/>
    </mc:Choice>
  </mc:AlternateContent>
  <xr:revisionPtr revIDLastSave="0" documentId="8_{B32F315A-D275-4120-B344-6B0FCB921B31}" xr6:coauthVersionLast="47" xr6:coauthVersionMax="47" xr10:uidLastSave="{00000000-0000-0000-0000-000000000000}"/>
  <bookViews>
    <workbookView xWindow="-110" yWindow="-110" windowWidth="19420" windowHeight="10300" tabRatio="500" activeTab="4" xr2:uid="{00000000-000D-0000-FFFF-FFFF00000000}"/>
  </bookViews>
  <sheets>
    <sheet name="P&amp;L to Budget" sheetId="1" r:id="rId1"/>
    <sheet name="Transaction Rpt by Date" sheetId="2" r:id="rId2"/>
    <sheet name="Profit_Loss Trans Rpt" sheetId="3" r:id="rId3"/>
    <sheet name="Journal Entries" sheetId="4" r:id="rId4"/>
    <sheet name=" Fund Balances" sheetId="5" r:id="rId5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Pv7IpmTYiCznRcIw0S7wKKI8qlA=="/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7" i="3"/>
  <c r="B18" i="3"/>
  <c r="B19" i="3"/>
  <c r="B21" i="3"/>
  <c r="B22" i="3"/>
  <c r="B23" i="3"/>
  <c r="B25" i="3"/>
  <c r="B26" i="3"/>
  <c r="B28" i="3"/>
  <c r="B29" i="3"/>
  <c r="B30" i="3"/>
  <c r="B31" i="3"/>
  <c r="B32" i="3"/>
  <c r="B33" i="3"/>
  <c r="B34" i="3"/>
  <c r="B35" i="3"/>
  <c r="B39" i="3"/>
  <c r="B40" i="3"/>
  <c r="B42" i="3"/>
  <c r="B43" i="3"/>
  <c r="B44" i="3"/>
  <c r="B45" i="3"/>
  <c r="B46" i="3"/>
  <c r="B47" i="3"/>
  <c r="B49" i="3"/>
  <c r="B50" i="3"/>
  <c r="B52" i="3"/>
  <c r="B53" i="3"/>
  <c r="B54" i="3"/>
  <c r="B55" i="3"/>
  <c r="B56" i="3"/>
  <c r="B57" i="3"/>
  <c r="B60" i="3"/>
  <c r="B61" i="3"/>
  <c r="B62" i="3"/>
  <c r="B63" i="3"/>
  <c r="B64" i="3"/>
  <c r="B65" i="3"/>
  <c r="B66" i="3"/>
  <c r="B68" i="3"/>
  <c r="B69" i="3"/>
  <c r="B70" i="3"/>
  <c r="B71" i="3"/>
  <c r="B72" i="3"/>
  <c r="B73" i="3"/>
  <c r="B74" i="3"/>
  <c r="B75" i="3"/>
  <c r="B78" i="3"/>
  <c r="B79" i="3"/>
  <c r="B80" i="3"/>
  <c r="B81" i="3"/>
  <c r="B82" i="3"/>
  <c r="B83" i="3"/>
  <c r="B84" i="3"/>
  <c r="B85" i="3"/>
  <c r="B86" i="3"/>
  <c r="B87" i="3"/>
  <c r="B88" i="3"/>
  <c r="B90" i="3"/>
  <c r="B91" i="3"/>
  <c r="B92" i="3"/>
  <c r="B94" i="3"/>
  <c r="B95" i="3"/>
  <c r="B96" i="3"/>
  <c r="B98" i="3"/>
  <c r="B99" i="3"/>
  <c r="B100" i="3"/>
  <c r="B102" i="3"/>
  <c r="B103" i="3"/>
  <c r="B104" i="3"/>
  <c r="B105" i="3"/>
  <c r="B106" i="3"/>
  <c r="B107" i="3"/>
  <c r="B108" i="3"/>
  <c r="B109" i="3"/>
  <c r="C8" i="1"/>
  <c r="C10" i="1"/>
  <c r="C11" i="1"/>
  <c r="C12" i="1"/>
  <c r="C13" i="1"/>
  <c r="C14" i="1"/>
  <c r="C15" i="1"/>
  <c r="C16" i="1"/>
  <c r="C17" i="1"/>
  <c r="C18" i="1"/>
  <c r="C19" i="1"/>
  <c r="C21" i="1"/>
  <c r="C22" i="1"/>
  <c r="C23" i="1"/>
  <c r="C25" i="1"/>
  <c r="C26" i="1"/>
  <c r="C27" i="1"/>
  <c r="C28" i="1"/>
  <c r="C29" i="1"/>
  <c r="C30" i="1"/>
  <c r="C31" i="1"/>
  <c r="C33" i="1"/>
  <c r="C34" i="1"/>
  <c r="C35" i="1"/>
  <c r="C36" i="1"/>
  <c r="C37" i="1"/>
  <c r="C38" i="1"/>
  <c r="C42" i="1"/>
  <c r="C43" i="1"/>
  <c r="C44" i="1"/>
  <c r="C45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68" i="1"/>
  <c r="C70" i="1"/>
  <c r="C71" i="1"/>
  <c r="C72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9" i="1"/>
  <c r="C90" i="1"/>
  <c r="C91" i="1"/>
  <c r="C92" i="1"/>
  <c r="C93" i="1"/>
  <c r="C94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9" i="1"/>
  <c r="C140" i="1"/>
  <c r="C141" i="1"/>
  <c r="C142" i="1"/>
  <c r="C143" i="1"/>
  <c r="C144" i="1"/>
  <c r="C145" i="1"/>
  <c r="C146" i="1"/>
  <c r="C147" i="1"/>
  <c r="C148" i="1"/>
  <c r="C150" i="1"/>
  <c r="C151" i="1"/>
  <c r="C152" i="1"/>
  <c r="C154" i="1"/>
  <c r="C155" i="1"/>
  <c r="C156" i="1"/>
  <c r="C158" i="1"/>
  <c r="C159" i="1"/>
  <c r="C160" i="1"/>
  <c r="C161" i="1"/>
  <c r="C163" i="1"/>
  <c r="C164" i="1"/>
  <c r="C165" i="1"/>
  <c r="C167" i="1"/>
  <c r="C168" i="1"/>
  <c r="C169" i="1"/>
  <c r="C172" i="1"/>
  <c r="C173" i="1"/>
  <c r="C174" i="1"/>
  <c r="C175" i="1"/>
  <c r="C176" i="1"/>
  <c r="C177" i="1"/>
  <c r="C178" i="1"/>
  <c r="C179" i="1"/>
  <c r="C180" i="1"/>
  <c r="C181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B13" i="1"/>
  <c r="B14" i="1"/>
  <c r="B19" i="1"/>
  <c r="B21" i="1"/>
  <c r="B22" i="1"/>
  <c r="B23" i="1"/>
  <c r="B26" i="1"/>
  <c r="B31" i="1"/>
  <c r="B33" i="1"/>
  <c r="B34" i="1"/>
  <c r="B36" i="1"/>
  <c r="B37" i="1"/>
  <c r="B38" i="1"/>
  <c r="B42" i="1"/>
  <c r="B45" i="1"/>
  <c r="B48" i="1"/>
  <c r="B50" i="1"/>
  <c r="B51" i="1"/>
  <c r="B52" i="1"/>
  <c r="B58" i="1"/>
  <c r="B59" i="1"/>
  <c r="B62" i="1"/>
  <c r="B68" i="1"/>
  <c r="B71" i="1"/>
  <c r="B72" i="1"/>
  <c r="B77" i="1"/>
  <c r="B80" i="1"/>
  <c r="B82" i="1"/>
  <c r="B83" i="1"/>
  <c r="B85" i="1"/>
  <c r="B87" i="1"/>
  <c r="B92" i="1"/>
  <c r="B93" i="1"/>
  <c r="B94" i="1"/>
  <c r="B97" i="1"/>
  <c r="B101" i="1"/>
  <c r="B102" i="1"/>
  <c r="B103" i="1"/>
  <c r="B104" i="1"/>
  <c r="B106" i="1"/>
  <c r="B110" i="1"/>
  <c r="B112" i="1"/>
  <c r="B113" i="1"/>
  <c r="B114" i="1"/>
  <c r="B116" i="1"/>
  <c r="B117" i="1"/>
  <c r="B118" i="1"/>
  <c r="B122" i="1"/>
  <c r="B123" i="1"/>
  <c r="B126" i="1"/>
  <c r="B127" i="1"/>
  <c r="B129" i="1"/>
  <c r="B130" i="1"/>
  <c r="B131" i="1"/>
  <c r="B132" i="1"/>
  <c r="B133" i="1"/>
  <c r="B134" i="1"/>
  <c r="B135" i="1"/>
  <c r="B136" i="1"/>
  <c r="B137" i="1"/>
  <c r="B142" i="1"/>
  <c r="B147" i="1"/>
  <c r="B148" i="1"/>
  <c r="B150" i="1"/>
  <c r="B151" i="1"/>
  <c r="B152" i="1"/>
  <c r="B156" i="1"/>
  <c r="B159" i="1"/>
  <c r="B160" i="1"/>
  <c r="B161" i="1"/>
  <c r="B163" i="1"/>
  <c r="B164" i="1"/>
  <c r="B165" i="1"/>
  <c r="B169" i="1"/>
  <c r="B181" i="1"/>
  <c r="B192" i="1"/>
  <c r="B193" i="1"/>
  <c r="B194" i="1"/>
  <c r="B195" i="1"/>
  <c r="B196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G8" i="5"/>
  <c r="F8" i="5"/>
  <c r="G24" i="5"/>
  <c r="G15" i="5"/>
  <c r="G12" i="5"/>
  <c r="G13" i="5"/>
  <c r="G11" i="5"/>
  <c r="G14" i="5"/>
  <c r="G26" i="5"/>
  <c r="G19" i="5"/>
  <c r="G10" i="5"/>
  <c r="G16" i="5"/>
  <c r="G17" i="5"/>
  <c r="G18" i="5"/>
  <c r="G20" i="5"/>
  <c r="G21" i="5"/>
  <c r="G22" i="5"/>
  <c r="G23" i="5"/>
  <c r="G25" i="5"/>
  <c r="G27" i="5"/>
  <c r="G28" i="5"/>
</calcChain>
</file>

<file path=xl/sharedStrings.xml><?xml version="1.0" encoding="utf-8"?>
<sst xmlns="http://schemas.openxmlformats.org/spreadsheetml/2006/main" count="1000" uniqueCount="530">
  <si>
    <t>Town of Conover</t>
  </si>
  <si>
    <t>Total</t>
  </si>
  <si>
    <t>Actual</t>
  </si>
  <si>
    <t>Budget</t>
  </si>
  <si>
    <t>% of Budget</t>
  </si>
  <si>
    <t>Income</t>
  </si>
  <si>
    <t xml:space="preserve">   43000 INTERGOVERNMENTAL REVENUE</t>
  </si>
  <si>
    <t xml:space="preserve">      43410 State Shared Revenues</t>
  </si>
  <si>
    <t xml:space="preserve">      43420 2% Fire Insurance Dues Refund</t>
  </si>
  <si>
    <t xml:space="preserve">      43529 Ambulance Aid - FAP</t>
  </si>
  <si>
    <t xml:space="preserve">      43531 General Transportation Aids</t>
  </si>
  <si>
    <t xml:space="preserve">      43630 Pilt On Forest Lands</t>
  </si>
  <si>
    <t xml:space="preserve">      43650 Forest Cropland Aids</t>
  </si>
  <si>
    <t xml:space="preserve">      43781 County Timber Sales</t>
  </si>
  <si>
    <t xml:space="preserve">      43790 Other Local Govt Grants</t>
  </si>
  <si>
    <t xml:space="preserve">   Total 43000 INTERGOVERNMENTAL REVENUE</t>
  </si>
  <si>
    <t xml:space="preserve">   44000 LICENSES AND PERMITS</t>
  </si>
  <si>
    <t xml:space="preserve">      44100 Liquor License</t>
  </si>
  <si>
    <t xml:space="preserve">      44300 Permit, Driveways, Inspection</t>
  </si>
  <si>
    <t xml:space="preserve">   Total 44000 LICENSES AND PERMITS</t>
  </si>
  <si>
    <t xml:space="preserve">   46000 PUBLIC CHARGES</t>
  </si>
  <si>
    <t xml:space="preserve">      46100 Gen Govt Chg-License Pub Fees</t>
  </si>
  <si>
    <t xml:space="preserve">      46310 Hwy &amp;  Street Maint &amp; Constr</t>
  </si>
  <si>
    <t xml:space="preserve">      46540 Cemetery Maint</t>
  </si>
  <si>
    <t xml:space="preserve">      46720 Park Rentals</t>
  </si>
  <si>
    <t xml:space="preserve">      46743 Conover Center Rental</t>
  </si>
  <si>
    <t xml:space="preserve">   Total 46000 PUBLIC CHARGES</t>
  </si>
  <si>
    <t xml:space="preserve">   48000 MISCELLANEOUS REVENUE</t>
  </si>
  <si>
    <t xml:space="preserve">      48110 Interest Income</t>
  </si>
  <si>
    <t xml:space="preserve">      48201 Post Office Lease</t>
  </si>
  <si>
    <t xml:space="preserve">   Total 48000 MISCELLANEOUS REVENUE</t>
  </si>
  <si>
    <t>Total Income</t>
  </si>
  <si>
    <t>Gross Profit</t>
  </si>
  <si>
    <t>Expenses</t>
  </si>
  <si>
    <t xml:space="preserve">   51000 GENERAL GOVERNMENT EXPENSE</t>
  </si>
  <si>
    <t xml:space="preserve">      51100 BOARD</t>
  </si>
  <si>
    <t xml:space="preserve">         5110001 Board Wages</t>
  </si>
  <si>
    <t xml:space="preserve">         5110028 Board Pubs/Subs/Dues</t>
  </si>
  <si>
    <t xml:space="preserve">         5119928 Board Misc Expense</t>
  </si>
  <si>
    <t xml:space="preserve">      Total 51100 BOARD</t>
  </si>
  <si>
    <t xml:space="preserve">      51300 LEGAL</t>
  </si>
  <si>
    <t xml:space="preserve">         5130011 Legal Contracted Services</t>
  </si>
  <si>
    <t xml:space="preserve">      Total 51300 LEGAL</t>
  </si>
  <si>
    <t xml:space="preserve">      51420 CLERK</t>
  </si>
  <si>
    <t xml:space="preserve">         5142001 Clerk Wages</t>
  </si>
  <si>
    <t xml:space="preserve">         5142003 Clerk Health Insurance</t>
  </si>
  <si>
    <t xml:space="preserve">         5142005 Clerk Retirement</t>
  </si>
  <si>
    <t xml:space="preserve">         5142020 Clerk Supply</t>
  </si>
  <si>
    <t xml:space="preserve">         5142021 Clerk Office Equip Maint</t>
  </si>
  <si>
    <t xml:space="preserve">         5142022 CLERK Internet &amp; Phone</t>
  </si>
  <si>
    <t xml:space="preserve">         5142025 Clerk Mileage</t>
  </si>
  <si>
    <t xml:space="preserve">         5142026 Clerk Postage &amp; Copying</t>
  </si>
  <si>
    <t xml:space="preserve">         5142028 Clerk Pubs/Subs/Dues</t>
  </si>
  <si>
    <t xml:space="preserve">         5142051 Clerk Copier Lease</t>
  </si>
  <si>
    <t xml:space="preserve">         5142081 Clerk Public Officials Bond</t>
  </si>
  <si>
    <t xml:space="preserve">      Total 51420 CLERK</t>
  </si>
  <si>
    <t xml:space="preserve">      51440 ELECTION</t>
  </si>
  <si>
    <t xml:space="preserve">         5144001 Election Wages</t>
  </si>
  <si>
    <t xml:space="preserve">         5144010 Election Inservices</t>
  </si>
  <si>
    <t xml:space="preserve">         5144028 Election Publications</t>
  </si>
  <si>
    <t xml:space="preserve">         5144099 Election - Other</t>
  </si>
  <si>
    <t xml:space="preserve">      Total 51440 ELECTION</t>
  </si>
  <si>
    <t xml:space="preserve">      51520 TREASURER/Auditor</t>
  </si>
  <si>
    <t xml:space="preserve">         5152011 Treasurer Audit &amp; Accting</t>
  </si>
  <si>
    <t xml:space="preserve">         5152012 Treasurer Audit/Accounting</t>
  </si>
  <si>
    <t xml:space="preserve">      Total 51520 TREASURER/Auditor</t>
  </si>
  <si>
    <t xml:space="preserve">      51530 ASSESSOR</t>
  </si>
  <si>
    <t xml:space="preserve">         5153011 Assessor Contract</t>
  </si>
  <si>
    <t xml:space="preserve">         5153021 Board of Review Exp/Pub</t>
  </si>
  <si>
    <t xml:space="preserve">         5153091 Assessor Board Of Review</t>
  </si>
  <si>
    <t xml:space="preserve">      Total 51530 ASSESSOR</t>
  </si>
  <si>
    <t xml:space="preserve">      51600 TOWN HALL</t>
  </si>
  <si>
    <t xml:space="preserve">         5160015 Contract Services (Janitorial)</t>
  </si>
  <si>
    <t xml:space="preserve">         5160020 Town Hall Supplies</t>
  </si>
  <si>
    <t xml:space="preserve">         5160021 Town Hall Repairs</t>
  </si>
  <si>
    <t xml:space="preserve">         5160022 Town Hall Utilities</t>
  </si>
  <si>
    <t xml:space="preserve">         5160023 Town Hall - Other and Garbage Pick Up</t>
  </si>
  <si>
    <t xml:space="preserve">         5160030 Community Center Contract Services</t>
  </si>
  <si>
    <t xml:space="preserve">         5160031 Community Center Utilities</t>
  </si>
  <si>
    <t xml:space="preserve">      Total 51600 TOWN HALL</t>
  </si>
  <si>
    <t xml:space="preserve">      51900 OTHER GENERAL GOVERNMENT</t>
  </si>
  <si>
    <t xml:space="preserve">         5193806 Unempoyment Insurance</t>
  </si>
  <si>
    <t xml:space="preserve">         5193807 Worker's Comp Insurance</t>
  </si>
  <si>
    <t xml:space="preserve">         5193881 General Liability Insurance</t>
  </si>
  <si>
    <t xml:space="preserve">         5193882 EMS/CFD Firefighter Ins (WSFFA)</t>
  </si>
  <si>
    <t xml:space="preserve">      Total 51900 OTHER GENERAL GOVERNMENT</t>
  </si>
  <si>
    <t xml:space="preserve">   Total 51000 GENERAL GOVERNMENT EXPENSE</t>
  </si>
  <si>
    <t xml:space="preserve">   52000 PUBLIC SAFETY EXPENSES</t>
  </si>
  <si>
    <t xml:space="preserve">      52200 FIRE PROTECTION</t>
  </si>
  <si>
    <t xml:space="preserve">         5220001 Fire Prot Wages</t>
  </si>
  <si>
    <t xml:space="preserve">         5220003 Fire Insurance Retirement/Recognition</t>
  </si>
  <si>
    <t xml:space="preserve">         5220010 Fire Prot Training/Misc/Shots</t>
  </si>
  <si>
    <t xml:space="preserve">         5220011 Fire Inspector</t>
  </si>
  <si>
    <t xml:space="preserve">         5220020 Fire Prot Supplies</t>
  </si>
  <si>
    <t xml:space="preserve">         5220021 Fire Prot Maint</t>
  </si>
  <si>
    <t xml:space="preserve">         5220022 Fire Prot Utilities</t>
  </si>
  <si>
    <t xml:space="preserve">         5220023 50% INTERNET ACCESS</t>
  </si>
  <si>
    <t xml:space="preserve">         5220024 LifeQuest Fees - Fire Dept</t>
  </si>
  <si>
    <t xml:space="preserve">         5220032 Fire Prot Gas/Oil/Grease</t>
  </si>
  <si>
    <t xml:space="preserve">         5220090 Fire Prot 2% Fire Dues Supplies</t>
  </si>
  <si>
    <t xml:space="preserve">         5220092 Fire Prot Page Calls</t>
  </si>
  <si>
    <t xml:space="preserve">         57220 Fire Protection Capital Outlay (SCBAs)</t>
  </si>
  <si>
    <t xml:space="preserve">      Total 52200 FIRE PROTECTION</t>
  </si>
  <si>
    <t xml:space="preserve">      52300 AMBULANCE</t>
  </si>
  <si>
    <t xml:space="preserve">         5230001 Ambulance Operating Expense</t>
  </si>
  <si>
    <t xml:space="preserve">         5230002 WAGES - SALARY</t>
  </si>
  <si>
    <t xml:space="preserve">         5230005 SUPPLY-SHOTS</t>
  </si>
  <si>
    <t xml:space="preserve">         5230006 EQPT-RADIOS-UNIFORMS</t>
  </si>
  <si>
    <t xml:space="preserve">         5230007 LifeQuest  BILLING &amp; EXPENSE</t>
  </si>
  <si>
    <t xml:space="preserve">         5230009 AMB 50% NTERNET ACCESS</t>
  </si>
  <si>
    <t xml:space="preserve">         5230010 UTILITIES - HEAT - ELECTRIC</t>
  </si>
  <si>
    <t xml:space="preserve">         5230011 FUEL EXPENSE</t>
  </si>
  <si>
    <t xml:space="preserve">         5230012 FAP Award Training Aids</t>
  </si>
  <si>
    <t xml:space="preserve">         5230013 FAP Award EMT Basic Training</t>
  </si>
  <si>
    <t xml:space="preserve">      Total 52300 AMBULANCE</t>
  </si>
  <si>
    <t xml:space="preserve">   Total 52000 PUBLIC SAFETY EXPENSES</t>
  </si>
  <si>
    <t xml:space="preserve">   53000 PUBLIC WORKS EXPENSE</t>
  </si>
  <si>
    <t xml:space="preserve">      53311 HIGHWAY MAINTENANCE</t>
  </si>
  <si>
    <t xml:space="preserve">         5331100 Public Works Director</t>
  </si>
  <si>
    <t xml:space="preserve">         5331101 Highway Maint Wages</t>
  </si>
  <si>
    <t xml:space="preserve">         5331102 Highway Overtime Wages</t>
  </si>
  <si>
    <t xml:space="preserve">         5331103 Highway Retirement</t>
  </si>
  <si>
    <t xml:space="preserve">         5331104 Highway Health Insurance</t>
  </si>
  <si>
    <t xml:space="preserve">         5331107 Garage Utilities</t>
  </si>
  <si>
    <t xml:space="preserve">         5331120 Garage Supplies</t>
  </si>
  <si>
    <t xml:space="preserve">         5331127 Garage Phone</t>
  </si>
  <si>
    <t xml:space="preserve">         5331132 Gas/Oil/Grease</t>
  </si>
  <si>
    <t xml:space="preserve">      Total 53311 HIGHWAY MAINTENANCE</t>
  </si>
  <si>
    <t xml:space="preserve">      533315 Hwy and Street Construction</t>
  </si>
  <si>
    <t xml:space="preserve">         5331133 Salt, Sand &amp; Snow Removal</t>
  </si>
  <si>
    <t xml:space="preserve">         5331135 Road Signs</t>
  </si>
  <si>
    <t xml:space="preserve">         5331136 Highway Gravel</t>
  </si>
  <si>
    <t xml:space="preserve">         5331142 Road Repairs</t>
  </si>
  <si>
    <t xml:space="preserve">         5331143 Highway Equipment</t>
  </si>
  <si>
    <t xml:space="preserve">         5331150 Machine, Tool &amp; Equip Rent</t>
  </si>
  <si>
    <t xml:space="preserve">         57333 Asphalt/Crack/Patch</t>
  </si>
  <si>
    <t xml:space="preserve">      Total 533315 Hwy and Street Construction</t>
  </si>
  <si>
    <t xml:space="preserve">      53620 REFUSE &amp; GARBAGE COLL</t>
  </si>
  <si>
    <t xml:space="preserve">         5362003 Transfer Utilities (elec)</t>
  </si>
  <si>
    <t xml:space="preserve">      Total 53620 REFUSE &amp; GARBAGE COLL</t>
  </si>
  <si>
    <t xml:space="preserve">   Total 53000 PUBLIC WORKS EXPENSE</t>
  </si>
  <si>
    <t xml:space="preserve">   54000 HEALTH &amp; HUMAN SERVICES</t>
  </si>
  <si>
    <t xml:space="preserve">      54100 Animal Control Expense</t>
  </si>
  <si>
    <t xml:space="preserve">      5491099 Cemetery - Other</t>
  </si>
  <si>
    <t xml:space="preserve">   Total 54000 HEALTH &amp; HUMAN SERVICES</t>
  </si>
  <si>
    <t xml:space="preserve">   55000 CULTURE, REC &amp; ED EXPENSE</t>
  </si>
  <si>
    <t xml:space="preserve">      55110 Library Expense</t>
  </si>
  <si>
    <t xml:space="preserve">      5520021 Parks Expense - repairs/mowing/utilities</t>
  </si>
  <si>
    <t xml:space="preserve">      5520024 Park Improvements</t>
  </si>
  <si>
    <t xml:space="preserve">   Total 55000 CULTURE, REC &amp; ED EXPENSE</t>
  </si>
  <si>
    <t xml:space="preserve">   56000 CONSERVATION &amp; DEV EXPENSE</t>
  </si>
  <si>
    <t xml:space="preserve">      5670090 Chamber Of Commerce</t>
  </si>
  <si>
    <t xml:space="preserve">      5670092 Tourist Info Center</t>
  </si>
  <si>
    <t xml:space="preserve">   Total 56000 CONSERVATION &amp; DEV EXPENSE</t>
  </si>
  <si>
    <t xml:space="preserve">   57000 CAPITAL OUTLAY</t>
  </si>
  <si>
    <t xml:space="preserve">      57190 Off Equip/Assisted PR/Clerk Dep</t>
  </si>
  <si>
    <t xml:space="preserve">      57324 Highway Equipment &amp; Repairs Outlay</t>
  </si>
  <si>
    <t xml:space="preserve">   Total 57000 CAPITAL OUTLAY</t>
  </si>
  <si>
    <t xml:space="preserve">   58000 DEBT SERVICE</t>
  </si>
  <si>
    <t xml:space="preserve">      58100 PRINCIPAL</t>
  </si>
  <si>
    <t xml:space="preserve">      Total 58100 PRINCIPAL</t>
  </si>
  <si>
    <t xml:space="preserve">      58221 INTEREST</t>
  </si>
  <si>
    <t xml:space="preserve">         5822174 Interest - Salt Shed</t>
  </si>
  <si>
    <t xml:space="preserve">         5822176 Interest - Grader</t>
  </si>
  <si>
    <t xml:space="preserve">         5822179 Interest - Twin Lake</t>
  </si>
  <si>
    <t xml:space="preserve">      Total 58221 INTEREST</t>
  </si>
  <si>
    <t xml:space="preserve">   Total 58000 DEBT SERVICE</t>
  </si>
  <si>
    <t>Total Expenses</t>
  </si>
  <si>
    <t>Net Operating Income</t>
  </si>
  <si>
    <t>Net Income</t>
  </si>
  <si>
    <t>Transaction List by Date</t>
  </si>
  <si>
    <t>Date</t>
  </si>
  <si>
    <t>Transaction Type</t>
  </si>
  <si>
    <t>Num</t>
  </si>
  <si>
    <t>Name</t>
  </si>
  <si>
    <t>Memo/Description</t>
  </si>
  <si>
    <t>Split</t>
  </si>
  <si>
    <t>Amount</t>
  </si>
  <si>
    <t>Deposit</t>
  </si>
  <si>
    <t>-Split-</t>
  </si>
  <si>
    <t>Check</t>
  </si>
  <si>
    <t>5331120 PUBLIC WORKS EXPENSE:HIGHWAY MAINTENANCE:Garage Supplies</t>
  </si>
  <si>
    <t>Frontier</t>
  </si>
  <si>
    <t>HICKS ENTERPRISES, LLC</t>
  </si>
  <si>
    <t>5331132 PUBLIC WORKS EXPENSE:HIGHWAY MAINTENANCE:Gas/Oil/Grease</t>
  </si>
  <si>
    <t>5142028 GENERAL GOVERNMENT EXPENSE:CLERK:Clerk Pubs/Subs/Dues</t>
  </si>
  <si>
    <t>Operating Engineers Local 139 Benefit Funds</t>
  </si>
  <si>
    <t>Aramark Uniform Services</t>
  </si>
  <si>
    <t>DD</t>
  </si>
  <si>
    <t>John H. Barnekow</t>
  </si>
  <si>
    <t>Robert Cline</t>
  </si>
  <si>
    <t>Troy Ernst{EE1}</t>
  </si>
  <si>
    <t>Kevin Hartman</t>
  </si>
  <si>
    <t>Curt S. Hayden</t>
  </si>
  <si>
    <t>Kendra L Lederer</t>
  </si>
  <si>
    <t>Airgas USA, LLC</t>
  </si>
  <si>
    <t>IRS</t>
  </si>
  <si>
    <t>21100 Payroll Liabilities-Federal</t>
  </si>
  <si>
    <t>Jensen-Akins Inc.</t>
  </si>
  <si>
    <t>George Champeny</t>
  </si>
  <si>
    <t>Karl Jennrich</t>
  </si>
  <si>
    <t>Chad M Lederer</t>
  </si>
  <si>
    <t>Dale R Mayo</t>
  </si>
  <si>
    <t>5230009 PUBLIC SAFETY EXPENSES:AMBULANCE:AMB 50% NTERNET ACCESS</t>
  </si>
  <si>
    <t>INTEREST</t>
  </si>
  <si>
    <t>Interest Earned</t>
  </si>
  <si>
    <t>48110 MISCELLANEOUS REVENUE:Interest Income</t>
  </si>
  <si>
    <t>Service Charge</t>
  </si>
  <si>
    <t>Profit and Loss</t>
  </si>
  <si>
    <t>Journal Entries</t>
  </si>
  <si>
    <t>None</t>
  </si>
  <si>
    <t>Assigned Fund Balances</t>
  </si>
  <si>
    <t>Interest Earned YTD:  River Valley Checking:</t>
  </si>
  <si>
    <t>Interest Earned YTD:  Designated Funds:</t>
  </si>
  <si>
    <t>Interest Earned YTD:  Tax Account:</t>
  </si>
  <si>
    <t>RVB Total Funds</t>
  </si>
  <si>
    <t>Designated Fund Balances</t>
  </si>
  <si>
    <t>RVB Designated Acct - Election-Voter Equip: Exp Acct 57190</t>
  </si>
  <si>
    <t>RVB Designated Acct - Ambulance FAP Training Funds</t>
  </si>
  <si>
    <t>RVB Designated Acct - Conover Park/Rec Donations: Income Acct 48500</t>
  </si>
  <si>
    <t>RVB Designated Acct - Ambulance Sinking Fund: Exp Acct 5723099</t>
  </si>
  <si>
    <t>RVB Designated Acct - CP Donations: 48500 Inc Acct</t>
  </si>
  <si>
    <t>RVB Designated Acct - Highway Accumulated Sick Hours</t>
  </si>
  <si>
    <t>RVB Designated Acct - Highway Gravel (exp account 5331136)</t>
  </si>
  <si>
    <t>RVB Designated Acct - Culverts - Bridges: Inc Acct: 49014, Exp Acct: 57888</t>
  </si>
  <si>
    <t>RVB Designated Acct - Bike Trail Maintenance: Exp Acct:  5520023</t>
  </si>
  <si>
    <t>RVB Designated Acct - Contingency Fund: Exp Acct 57900</t>
  </si>
  <si>
    <t>RVB Designated Acct - FD Eqpt &amp; Misc Expense: SCBAs: 5722062 Expense Acct.</t>
  </si>
  <si>
    <t>RVB Designated Acct - FD Tanker Sinking Fund: Exp Acct 5722060</t>
  </si>
  <si>
    <t>Total Assigned Funds Balance :</t>
  </si>
  <si>
    <t xml:space="preserve"> </t>
  </si>
  <si>
    <t xml:space="preserve">      43660 Pilt-State Conservation Land</t>
  </si>
  <si>
    <t xml:space="preserve">         5331121 Highway Equipment Repairs</t>
  </si>
  <si>
    <t xml:space="preserve">         5331122 Union Dues</t>
  </si>
  <si>
    <t>5160023 GENERAL GOVERNMENT EXPENSE:TOWN HALL:Town Hall - Other and Garbage Pick Up</t>
  </si>
  <si>
    <t>WE Energies</t>
  </si>
  <si>
    <t>Jennifer L. Steiner</t>
  </si>
  <si>
    <t xml:space="preserve">      53420 Street Lighting</t>
  </si>
  <si>
    <t>RVB Designated Acct - Park Shelter Sinking Fund: Exp Acct 57620</t>
  </si>
  <si>
    <t>RVB Designated Acct - Park Renovations: Exp Acct:  5520024</t>
  </si>
  <si>
    <t>Joseph J Muehlbach</t>
  </si>
  <si>
    <t xml:space="preserve">      46230 Ambulance/EMS Fees</t>
  </si>
  <si>
    <t xml:space="preserve">      48900 Other Income/Misc Revenues</t>
  </si>
  <si>
    <t>Transfer</t>
  </si>
  <si>
    <t>Republic Services</t>
  </si>
  <si>
    <t>5230001 PUBLIC SAFETY EXPENSES:AMBULANCE:Ambulance Operating Expense</t>
  </si>
  <si>
    <t>5331121 PUBLIC WORKS EXPENSE:HIGHWAY MAINTENANCE:Highway Equipment Repairs</t>
  </si>
  <si>
    <t>SVCCHRG</t>
  </si>
  <si>
    <t>Diane Price</t>
  </si>
  <si>
    <t xml:space="preserve">         5810086 Dumptruck</t>
  </si>
  <si>
    <t>AUTO VALUE</t>
  </si>
  <si>
    <t>Billie Jo j Ernst</t>
  </si>
  <si>
    <t>RVB Designated Acct - Conover Center Handicap Assessibility</t>
  </si>
  <si>
    <t>RVB Designated Acct - R2R Funds</t>
  </si>
  <si>
    <t>RVB Designated Acct - Highway Maintenance for Future</t>
  </si>
  <si>
    <t xml:space="preserve">         5810071 Park Pavillion</t>
  </si>
  <si>
    <t xml:space="preserve">         5810076 Rummels Road</t>
  </si>
  <si>
    <t xml:space="preserve">         5810077 Buckatabon</t>
  </si>
  <si>
    <t xml:space="preserve">         5822173 INTEREST - Park Pavillion</t>
  </si>
  <si>
    <t xml:space="preserve">         5822177 Interest - Rummels Road</t>
  </si>
  <si>
    <t xml:space="preserve">         5822178 Interest - Buckatabon</t>
  </si>
  <si>
    <t>David Halverson</t>
  </si>
  <si>
    <t xml:space="preserve">         5142010 Clerk Workshops</t>
  </si>
  <si>
    <t xml:space="preserve">         5810073 Salt Shed</t>
  </si>
  <si>
    <t xml:space="preserve">         5810075 Grader</t>
  </si>
  <si>
    <t xml:space="preserve">         5810078 Twin Lake</t>
  </si>
  <si>
    <t xml:space="preserve">      48430 Insurance Recovery</t>
  </si>
  <si>
    <t>Park expenditures</t>
  </si>
  <si>
    <t>RVB Designated Acct - Ambulance FAP Support and Improvement</t>
  </si>
  <si>
    <t>William R Hogenmiller</t>
  </si>
  <si>
    <t xml:space="preserve">         Garage-Phone</t>
  </si>
  <si>
    <t>3K reserved for speakers</t>
  </si>
  <si>
    <t>Robert W Martinson Jr</t>
  </si>
  <si>
    <t>Town of Conover Books</t>
  </si>
  <si>
    <t xml:space="preserve">  Expenses  </t>
  </si>
  <si>
    <t xml:space="preserve">  Income  </t>
  </si>
  <si>
    <t xml:space="preserve">   Balance  </t>
  </si>
  <si>
    <t xml:space="preserve">  Balance  </t>
  </si>
  <si>
    <t>INcredible Bank Cardmember Services</t>
  </si>
  <si>
    <t>Maddie E Indermuehle</t>
  </si>
  <si>
    <t>Robin G Indermuehle</t>
  </si>
  <si>
    <t>AMERICAN WELDING AND GAS</t>
  </si>
  <si>
    <t>Kimberly A Rauscher</t>
  </si>
  <si>
    <t>5220023 PUBLIC SAFETY EXPENSES:FIRE PROTECTION:50% INTERNET ACCESS</t>
  </si>
  <si>
    <t>11101 RVB Checking</t>
  </si>
  <si>
    <t xml:space="preserve">-110.82 </t>
  </si>
  <si>
    <t>ACH</t>
  </si>
  <si>
    <t>jet pack wireless</t>
  </si>
  <si>
    <t>5520024 CULTURE, REC &amp; ED EXPENSE:Park Improvements</t>
  </si>
  <si>
    <t xml:space="preserve">   40000 PROPERTY TAXES</t>
  </si>
  <si>
    <t xml:space="preserve">      50000 TAX SETTLEMENTS PAID TO OTHERS</t>
  </si>
  <si>
    <t xml:space="preserve">   Total 40000 PROPERTY TAXES</t>
  </si>
  <si>
    <t xml:space="preserve">         5810084 Wheel Loader</t>
  </si>
  <si>
    <t xml:space="preserve">         5822172 Fire Tender</t>
  </si>
  <si>
    <t xml:space="preserve">         5822175 Dump Truck/Skid Steer</t>
  </si>
  <si>
    <t>Point and Pay</t>
  </si>
  <si>
    <t>Bound Tree Medical LLC</t>
  </si>
  <si>
    <t>5230005 PUBLIC SAFETY EXPENSES:AMBULANCE:SUPPLY-SHOTS</t>
  </si>
  <si>
    <t>5670092 CONSERVATION &amp; DEV EXPENSE:Tourist Info Center</t>
  </si>
  <si>
    <t>Rent-A-Flash</t>
  </si>
  <si>
    <t xml:space="preserve">-409.84 </t>
  </si>
  <si>
    <t>FABICK CAT</t>
  </si>
  <si>
    <t>40005 PROPERTY TAXES:PROPERTY TAX COLLECTIONS:Adv Tax Collections From Dec</t>
  </si>
  <si>
    <t>Tax Payment per bank statement</t>
  </si>
  <si>
    <t>Verizon</t>
  </si>
  <si>
    <t>acct #185</t>
  </si>
  <si>
    <t>tax overpayment refund</t>
  </si>
  <si>
    <t>26140 Due to Taxpayers</t>
  </si>
  <si>
    <t xml:space="preserve">      40001 PROPERTY TAX COLLECTIONS</t>
  </si>
  <si>
    <t xml:space="preserve">         40005 Adv Tax Collections From Dec</t>
  </si>
  <si>
    <t xml:space="preserve">      Total 40001 PROPERTY TAX COLLECTIONS</t>
  </si>
  <si>
    <t>from LY budget</t>
  </si>
  <si>
    <t xml:space="preserve">  2023 Expenses  </t>
  </si>
  <si>
    <t xml:space="preserve">  2023 Income  </t>
  </si>
  <si>
    <t xml:space="preserve">Budget vs. Actuals: 2023 Budget - FY23 P&amp;L </t>
  </si>
  <si>
    <t>January - December 2023</t>
  </si>
  <si>
    <t xml:space="preserve">         5160032 Community Center Internet</t>
  </si>
  <si>
    <t xml:space="preserve">         57332 Road Const - Hwy Outlay</t>
  </si>
  <si>
    <t xml:space="preserve">         5810083 Fire Tender</t>
  </si>
  <si>
    <t xml:space="preserve">         5822183 Wheel Loader</t>
  </si>
  <si>
    <t>as of January 31st</t>
  </si>
  <si>
    <t>Batch #34</t>
  </si>
  <si>
    <t xml:space="preserve">136,950.22 </t>
  </si>
  <si>
    <t>1st Install. Gen. Trans. Aid</t>
  </si>
  <si>
    <t>43531 INTERGOVERNMENTAL REVENUE:General Transportation Aids</t>
  </si>
  <si>
    <t>Sledding Party Proceeds</t>
  </si>
  <si>
    <t>21127 RVB Designated Funds:Conover Park Donations (exp acct 55300)</t>
  </si>
  <si>
    <t>Expense</t>
  </si>
  <si>
    <t>point and pay insufficient funds</t>
  </si>
  <si>
    <t>ICS adjustments</t>
  </si>
  <si>
    <t>Batch #35</t>
  </si>
  <si>
    <t>Batch # 36</t>
  </si>
  <si>
    <t>Batch # 37</t>
  </si>
  <si>
    <t>Incredible Bank</t>
  </si>
  <si>
    <t>Batch # 38</t>
  </si>
  <si>
    <t xml:space="preserve">105,618.49 </t>
  </si>
  <si>
    <t>Batch #39</t>
  </si>
  <si>
    <t xml:space="preserve">158,864.98 </t>
  </si>
  <si>
    <t>Pay Period: 12/18/2022-12/31/2022</t>
  </si>
  <si>
    <t xml:space="preserve">-1,738.39 </t>
  </si>
  <si>
    <t xml:space="preserve">-259.76 </t>
  </si>
  <si>
    <t xml:space="preserve">-189.91 </t>
  </si>
  <si>
    <t xml:space="preserve">-1,344.05 </t>
  </si>
  <si>
    <t xml:space="preserve">-93.09 </t>
  </si>
  <si>
    <t xml:space="preserve">-1,597.36 </t>
  </si>
  <si>
    <t xml:space="preserve">-1,299.17 </t>
  </si>
  <si>
    <t xml:space="preserve">-103.06 </t>
  </si>
  <si>
    <t xml:space="preserve">-211.67 </t>
  </si>
  <si>
    <t xml:space="preserve">-1,968.52 </t>
  </si>
  <si>
    <t>Holly M Moshinski</t>
  </si>
  <si>
    <t xml:space="preserve">-46.55 </t>
  </si>
  <si>
    <t xml:space="preserve">-467.72 </t>
  </si>
  <si>
    <t>Conover Chamber of Commerce</t>
  </si>
  <si>
    <t>Yearly Funding Due</t>
  </si>
  <si>
    <t>5670090 CONSERVATION &amp; DEV EXPENSE:Chamber Of Commerce</t>
  </si>
  <si>
    <t>Nelson's Ace Hardware</t>
  </si>
  <si>
    <t>Acct. #62703</t>
  </si>
  <si>
    <t>5160020 GENERAL GOVERNMENT EXPENSE:TOWN HALL:Town Hall Supplies</t>
  </si>
  <si>
    <t>Acct. #BM163</t>
  </si>
  <si>
    <t>Corelogic</t>
  </si>
  <si>
    <t>Refund for Wilson, payment was already paid by previous owner.</t>
  </si>
  <si>
    <t>48901 PROPERTY TAXES:PROPERTY TAX COLLECTIONS:Tax Overpayments</t>
  </si>
  <si>
    <t>Phone and Internet 12/28/22 - 01/27/23</t>
  </si>
  <si>
    <t>Phone and Internet  12/28/22 - 1/27/23</t>
  </si>
  <si>
    <t>Invoice # SIWA0027324</t>
  </si>
  <si>
    <t xml:space="preserve">-502.95 </t>
  </si>
  <si>
    <t>Inv # 57775</t>
  </si>
  <si>
    <t>Bill for 11/23 - 12/26/22</t>
  </si>
  <si>
    <t>John, Curt, Troy, Kendra union dues for January 2023</t>
  </si>
  <si>
    <t>5331122 PUBLIC WORKS EXPENSE:HIGHWAY MAINTENANCE:Union Dues</t>
  </si>
  <si>
    <t>Batch #42</t>
  </si>
  <si>
    <t>40010 PROPERTY TAXES:PROPERTY TAX COLLECTIONS:January Tax Collections</t>
  </si>
  <si>
    <t>Batch # 43</t>
  </si>
  <si>
    <t>Batch # 44</t>
  </si>
  <si>
    <t>Batch #45</t>
  </si>
  <si>
    <t>Batch #46</t>
  </si>
  <si>
    <t xml:space="preserve">114,597.79 </t>
  </si>
  <si>
    <t>Batch #47</t>
  </si>
  <si>
    <t xml:space="preserve">415.86 </t>
  </si>
  <si>
    <t>Batch #48</t>
  </si>
  <si>
    <t xml:space="preserve">12,577.09 </t>
  </si>
  <si>
    <t>Pay Period: 01/06/2023-01/06/2023</t>
  </si>
  <si>
    <t>SCBAs</t>
  </si>
  <si>
    <t>21180 RVB Designated Funds:FD Equip/Misc (exp acct 5722062</t>
  </si>
  <si>
    <t>Batch #49</t>
  </si>
  <si>
    <t xml:space="preserve">134,509.93 </t>
  </si>
  <si>
    <t>Batch #50</t>
  </si>
  <si>
    <t>Health Insurance January 2023</t>
  </si>
  <si>
    <t xml:space="preserve">-8,970.00 </t>
  </si>
  <si>
    <t>Pension January 2023</t>
  </si>
  <si>
    <t xml:space="preserve">-3,607.20 </t>
  </si>
  <si>
    <t>Tax Payment for Period: 01/04/2023-01/06/2023</t>
  </si>
  <si>
    <t>Batch #51</t>
  </si>
  <si>
    <t xml:space="preserve">71,101.26 </t>
  </si>
  <si>
    <t>Batch #52</t>
  </si>
  <si>
    <t>Vilas County Treasurer</t>
  </si>
  <si>
    <t>Payment to VC for DV back taxes paid through PNP</t>
  </si>
  <si>
    <t>50000 PROPERTY TAXES:TAX SETTLEMENTS PAID TO OTHERS</t>
  </si>
  <si>
    <t>Dec. 2022 Payment</t>
  </si>
  <si>
    <t xml:space="preserve">4,009.70 </t>
  </si>
  <si>
    <t>Pay Period: 01/01/2023-01/31/2023</t>
  </si>
  <si>
    <t xml:space="preserve">-484.84 </t>
  </si>
  <si>
    <t xml:space="preserve">-554.10 </t>
  </si>
  <si>
    <t xml:space="preserve">-536.38 </t>
  </si>
  <si>
    <t xml:space="preserve">-1,402.08 </t>
  </si>
  <si>
    <t>Invoice #9993589882</t>
  </si>
  <si>
    <t>Inv # 57866</t>
  </si>
  <si>
    <t xml:space="preserve">-1,954.08 </t>
  </si>
  <si>
    <t>Northland Pines School District</t>
  </si>
  <si>
    <t>Jan. 2023 Tax Settlement Payment</t>
  </si>
  <si>
    <t>Nicolet Area Technical College</t>
  </si>
  <si>
    <t>January 2023 Tax Settlement</t>
  </si>
  <si>
    <t>January 2023 Tax Settlemnet</t>
  </si>
  <si>
    <t>Invoice #0645-000181739</t>
  </si>
  <si>
    <t>Group Bill For November - December 2022</t>
  </si>
  <si>
    <t xml:space="preserve">-4,391.16 </t>
  </si>
  <si>
    <t>Gard Specialists Co Inc.</t>
  </si>
  <si>
    <t>Invoice #145319</t>
  </si>
  <si>
    <t>invoice #6260056563, 6260082229, 6260084157</t>
  </si>
  <si>
    <t xml:space="preserve">-490.92 </t>
  </si>
  <si>
    <t>Cover January Settlement Payments</t>
  </si>
  <si>
    <t>Batch #53</t>
  </si>
  <si>
    <t xml:space="preserve">114,175.04 </t>
  </si>
  <si>
    <t>Batch #54</t>
  </si>
  <si>
    <t>Incred. Bank</t>
  </si>
  <si>
    <t>Batch #55</t>
  </si>
  <si>
    <t>Batch # 56</t>
  </si>
  <si>
    <t>Pay Period: 01/01/2023-01/14/2023</t>
  </si>
  <si>
    <t xml:space="preserve">-1,432.38 </t>
  </si>
  <si>
    <t xml:space="preserve">-1,850.32 </t>
  </si>
  <si>
    <t xml:space="preserve">-259.75 </t>
  </si>
  <si>
    <t xml:space="preserve">-220.63 </t>
  </si>
  <si>
    <t xml:space="preserve">-1,435.43 </t>
  </si>
  <si>
    <t xml:space="preserve">-116.36 </t>
  </si>
  <si>
    <t xml:space="preserve">-1,627.15 </t>
  </si>
  <si>
    <t xml:space="preserve">-1,392.13 </t>
  </si>
  <si>
    <t xml:space="preserve">-374.14 </t>
  </si>
  <si>
    <t xml:space="preserve">-214.71 </t>
  </si>
  <si>
    <t xml:space="preserve">-1,975.74 </t>
  </si>
  <si>
    <t xml:space="preserve">-234.31 </t>
  </si>
  <si>
    <t>Tax Payment for Period: 01/11/2023-01/13/2023</t>
  </si>
  <si>
    <t>John Fabick Tractor Comp.</t>
  </si>
  <si>
    <t>Invoice # SIWA0027686, PIWA0113465</t>
  </si>
  <si>
    <t>invoice# 9924982770</t>
  </si>
  <si>
    <t>Phone and Internet 1/10/23 - 02/09/23</t>
  </si>
  <si>
    <t>5160022 GENERAL GOVERNMENT EXPENSE:TOWN HALL:Town Hall Utilities</t>
  </si>
  <si>
    <t>Curt Hayden</t>
  </si>
  <si>
    <t>Welder Parts</t>
  </si>
  <si>
    <t>Vilas County Highway Department</t>
  </si>
  <si>
    <t>Rummels Rd Bridge Inspection</t>
  </si>
  <si>
    <t>5331142 PUBLIC WORKS EXPENSE:Hwy and Street Construction:Road Repairs</t>
  </si>
  <si>
    <t>invoice #25185030</t>
  </si>
  <si>
    <t>Batch #57</t>
  </si>
  <si>
    <t xml:space="preserve">118,138.91 </t>
  </si>
  <si>
    <t>Batch #58</t>
  </si>
  <si>
    <t>Batch #59</t>
  </si>
  <si>
    <t>Batch #60</t>
  </si>
  <si>
    <t xml:space="preserve">88,729.62 </t>
  </si>
  <si>
    <t>Batch #61</t>
  </si>
  <si>
    <t>Invoice</t>
  </si>
  <si>
    <t>Vilas  County Sheriffs Department</t>
  </si>
  <si>
    <t>43000 INTERGOVERNMENTAL REVENUE</t>
  </si>
  <si>
    <t xml:space="preserve">9,855.50 </t>
  </si>
  <si>
    <t>Batch #62</t>
  </si>
  <si>
    <t>Off by .05 according to bank</t>
  </si>
  <si>
    <t xml:space="preserve">124,774.38 </t>
  </si>
  <si>
    <t>Tamie Larson</t>
  </si>
  <si>
    <t>Tax Overpayment Refund</t>
  </si>
  <si>
    <t>Brad A Wiedenbauer</t>
  </si>
  <si>
    <t>Tax Overpayment</t>
  </si>
  <si>
    <t>Richard Lynam</t>
  </si>
  <si>
    <t>JASON IHLENFELDT</t>
  </si>
  <si>
    <t>Harold Kressin</t>
  </si>
  <si>
    <t>Overpayment of Taxes</t>
  </si>
  <si>
    <t>Michael Zagorski</t>
  </si>
  <si>
    <t>Tax overpayment refund</t>
  </si>
  <si>
    <t>Jordan Beck</t>
  </si>
  <si>
    <t>Joseph Van Bree</t>
  </si>
  <si>
    <t>KEVIN A ERMIS</t>
  </si>
  <si>
    <t>Tax Payment for Period: 01/18/2023-01/20/2023</t>
  </si>
  <si>
    <t>LIFE LINE BILLING SYSTEMS LLC</t>
  </si>
  <si>
    <t>Annual Leaders Support for 2023</t>
  </si>
  <si>
    <t>Inv #84232</t>
  </si>
  <si>
    <t>Schroeder's Auto Glass &amp; Chip Repair, Inc</t>
  </si>
  <si>
    <t>Voided - New Windshield for 2020 Chevy 3500</t>
  </si>
  <si>
    <t>Brauer Supply &amp; Equipment</t>
  </si>
  <si>
    <t>Invoice # 2201</t>
  </si>
  <si>
    <t>Blades for Town Trucks</t>
  </si>
  <si>
    <t>Northern Art and Design LLC</t>
  </si>
  <si>
    <t>50% Down Payment for CRC Sign</t>
  </si>
  <si>
    <t>Invoice #84829550</t>
  </si>
  <si>
    <t>Inv # 57955</t>
  </si>
  <si>
    <t>Wisconsin Public Service</t>
  </si>
  <si>
    <t>12/15/22 - 1/16/23</t>
  </si>
  <si>
    <t>12/16/22 - 1/17/23</t>
  </si>
  <si>
    <t>12/15/22 - 01/13/23  Statement</t>
  </si>
  <si>
    <t xml:space="preserve">-5,206.73 </t>
  </si>
  <si>
    <t>invoice #6260086509, 6260088447</t>
  </si>
  <si>
    <t xml:space="preserve">-378.38 </t>
  </si>
  <si>
    <t>Batch # 63</t>
  </si>
  <si>
    <t xml:space="preserve">148,218.60 </t>
  </si>
  <si>
    <t>Batch #64</t>
  </si>
  <si>
    <t>Batch #65</t>
  </si>
  <si>
    <t xml:space="preserve">2,406.39 </t>
  </si>
  <si>
    <t>Batch #66</t>
  </si>
  <si>
    <t>Batch # 67</t>
  </si>
  <si>
    <t>PILT Payment</t>
  </si>
  <si>
    <t>43630 INTERGOVERNMENTAL REVENUE:Pilt On Forest Lands</t>
  </si>
  <si>
    <t>Batch #68</t>
  </si>
  <si>
    <t xml:space="preserve">95,952.77 </t>
  </si>
  <si>
    <t>Batch #69</t>
  </si>
  <si>
    <t>Batch #70</t>
  </si>
  <si>
    <t xml:space="preserve">65,320.06 </t>
  </si>
  <si>
    <t>Batch # 71</t>
  </si>
  <si>
    <t>Batch #72</t>
  </si>
  <si>
    <t xml:space="preserve">18,603.54 </t>
  </si>
  <si>
    <t>Batch #73</t>
  </si>
  <si>
    <t>Batch # 74</t>
  </si>
  <si>
    <t xml:space="preserve">8,755.91 </t>
  </si>
  <si>
    <t>Batch #76</t>
  </si>
  <si>
    <t>Batch #77</t>
  </si>
  <si>
    <t>January</t>
  </si>
  <si>
    <t>January 2023</t>
  </si>
  <si>
    <t xml:space="preserve">         40010 January Tax Collections</t>
  </si>
  <si>
    <t xml:space="preserve">         40040 Dog License Collections</t>
  </si>
  <si>
    <t xml:space="preserve">         48901 Tax Overpayments</t>
  </si>
  <si>
    <t xml:space="preserve">      48500 Donations From Private Organizations</t>
  </si>
  <si>
    <t xml:space="preserve">   ICS adjustments</t>
  </si>
  <si>
    <t xml:space="preserve">   6560</t>
  </si>
  <si>
    <t xml:space="preserve">   Town Hall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</si>
</sst>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8" x14ac:knownFonts="1">
    <font>
      <sz val="11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indexed="8"/>
      <name val="Arial"/>
    </font>
    <font>
      <sz val="8"/>
      <color indexed="8"/>
      <name val="Arial"/>
    </font>
    <font>
      <u/>
      <sz val="11"/>
      <color theme="10"/>
      <name val="Arial"/>
    </font>
    <font>
      <u/>
      <sz val="11"/>
      <color theme="11"/>
      <name val="Arial"/>
    </font>
    <font>
      <b/>
      <sz val="9"/>
      <color rgb="FF000000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14" fontId="3" fillId="0" borderId="0" xfId="0" applyNumberFormat="1" applyFont="1"/>
    <xf numFmtId="14" fontId="5" fillId="0" borderId="0" xfId="0" applyNumberFormat="1" applyFont="1" applyAlignment="1">
      <alignment horizontal="left" wrapText="1"/>
    </xf>
    <xf numFmtId="8" fontId="3" fillId="0" borderId="0" xfId="0" applyNumberFormat="1" applyFont="1"/>
    <xf numFmtId="4" fontId="3" fillId="0" borderId="0" xfId="0" applyNumberFormat="1" applyFont="1"/>
    <xf numFmtId="44" fontId="3" fillId="0" borderId="0" xfId="0" applyNumberFormat="1" applyFont="1"/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right" wrapText="1"/>
    </xf>
    <xf numFmtId="165" fontId="10" fillId="0" borderId="3" xfId="0" applyNumberFormat="1" applyFont="1" applyBorder="1" applyAlignment="1">
      <alignment horizontal="right" wrapText="1"/>
    </xf>
    <xf numFmtId="14" fontId="0" fillId="0" borderId="0" xfId="0" applyNumberFormat="1"/>
    <xf numFmtId="10" fontId="10" fillId="0" borderId="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7" fillId="0" borderId="0" xfId="0" applyNumberFormat="1" applyFont="1"/>
    <xf numFmtId="165" fontId="4" fillId="0" borderId="3" xfId="0" applyNumberFormat="1" applyFont="1" applyBorder="1" applyAlignment="1">
      <alignment horizontal="right" wrapText="1"/>
    </xf>
    <xf numFmtId="10" fontId="5" fillId="0" borderId="0" xfId="0" applyNumberFormat="1" applyFont="1" applyAlignment="1">
      <alignment horizontal="right" wrapText="1"/>
    </xf>
    <xf numFmtId="10" fontId="4" fillId="0" borderId="3" xfId="0" applyNumberFormat="1" applyFont="1" applyBorder="1" applyAlignment="1">
      <alignment horizontal="right" wrapText="1"/>
    </xf>
    <xf numFmtId="0" fontId="14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10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opLeftCell="A7" workbookViewId="0">
      <selection sqref="A1:D196"/>
    </sheetView>
  </sheetViews>
  <sheetFormatPr defaultColWidth="12.6640625" defaultRowHeight="15" customHeight="1" x14ac:dyDescent="0.3"/>
  <cols>
    <col min="1" max="1" width="35.1640625" customWidth="1"/>
    <col min="2" max="2" width="12.83203125" customWidth="1"/>
    <col min="3" max="3" width="13.1640625" customWidth="1"/>
    <col min="4" max="4" width="14.33203125" customWidth="1"/>
    <col min="5" max="26" width="7.6640625" customWidth="1"/>
  </cols>
  <sheetData>
    <row r="1" spans="1:4" ht="18" x14ac:dyDescent="0.4">
      <c r="A1" s="38" t="s">
        <v>273</v>
      </c>
      <c r="B1" s="37"/>
      <c r="C1" s="37"/>
      <c r="D1" s="37"/>
    </row>
    <row r="2" spans="1:4" ht="18" x14ac:dyDescent="0.4">
      <c r="A2" s="38" t="s">
        <v>314</v>
      </c>
      <c r="B2" s="37"/>
      <c r="C2" s="37"/>
      <c r="D2" s="37"/>
    </row>
    <row r="3" spans="1:4" ht="14" x14ac:dyDescent="0.3">
      <c r="A3" s="39" t="s">
        <v>315</v>
      </c>
      <c r="B3" s="37"/>
      <c r="C3" s="37"/>
      <c r="D3" s="37"/>
    </row>
    <row r="4" spans="1:4" ht="14" x14ac:dyDescent="0.3"/>
    <row r="5" spans="1:4" ht="14" x14ac:dyDescent="0.3">
      <c r="A5" s="23"/>
      <c r="B5" s="40" t="s">
        <v>1</v>
      </c>
      <c r="C5" s="41"/>
      <c r="D5" s="41"/>
    </row>
    <row r="6" spans="1:4" ht="14" x14ac:dyDescent="0.3">
      <c r="A6" s="23"/>
      <c r="B6" s="33" t="s">
        <v>2</v>
      </c>
      <c r="C6" s="34" t="s">
        <v>3</v>
      </c>
      <c r="D6" s="34" t="s">
        <v>4</v>
      </c>
    </row>
    <row r="7" spans="1:4" ht="14" x14ac:dyDescent="0.3">
      <c r="A7" s="17" t="s">
        <v>5</v>
      </c>
      <c r="B7" s="18"/>
      <c r="C7" s="18"/>
      <c r="D7" s="18"/>
    </row>
    <row r="8" spans="1:4" ht="14" x14ac:dyDescent="0.3">
      <c r="A8" s="17" t="s">
        <v>289</v>
      </c>
      <c r="B8" s="18"/>
      <c r="C8" s="19">
        <f>1452733</f>
        <v>1452733</v>
      </c>
      <c r="D8" s="35">
        <f t="shared" ref="D8:D38" si="0">IF(C8=0,"",(B8)/(C8))</f>
        <v>0</v>
      </c>
    </row>
    <row r="9" spans="1:4" ht="14" x14ac:dyDescent="0.3">
      <c r="A9" s="17" t="s">
        <v>6</v>
      </c>
      <c r="B9" s="18"/>
      <c r="C9" s="18"/>
      <c r="D9" s="35" t="str">
        <f t="shared" si="0"/>
        <v/>
      </c>
    </row>
    <row r="10" spans="1:4" ht="14" x14ac:dyDescent="0.3">
      <c r="A10" s="17" t="s">
        <v>7</v>
      </c>
      <c r="B10" s="18"/>
      <c r="C10" s="19">
        <f>39700</f>
        <v>39700</v>
      </c>
      <c r="D10" s="35">
        <f t="shared" si="0"/>
        <v>0</v>
      </c>
    </row>
    <row r="11" spans="1:4" ht="14" x14ac:dyDescent="0.3">
      <c r="A11" s="17" t="s">
        <v>8</v>
      </c>
      <c r="B11" s="18"/>
      <c r="C11" s="19">
        <f>10000</f>
        <v>10000</v>
      </c>
      <c r="D11" s="35">
        <f t="shared" si="0"/>
        <v>0</v>
      </c>
    </row>
    <row r="12" spans="1:4" ht="14" x14ac:dyDescent="0.3">
      <c r="A12" s="17" t="s">
        <v>9</v>
      </c>
      <c r="B12" s="18"/>
      <c r="C12" s="19">
        <f>5000</f>
        <v>5000</v>
      </c>
      <c r="D12" s="35">
        <f t="shared" si="0"/>
        <v>0</v>
      </c>
    </row>
    <row r="13" spans="1:4" ht="14" x14ac:dyDescent="0.3">
      <c r="A13" s="17" t="s">
        <v>10</v>
      </c>
      <c r="B13" s="19">
        <f>59095.41</f>
        <v>59095.41</v>
      </c>
      <c r="C13" s="19">
        <f>236233</f>
        <v>236233</v>
      </c>
      <c r="D13" s="35">
        <f t="shared" si="0"/>
        <v>0.25015730232440009</v>
      </c>
    </row>
    <row r="14" spans="1:4" ht="14" x14ac:dyDescent="0.3">
      <c r="A14" s="17" t="s">
        <v>11</v>
      </c>
      <c r="B14" s="19">
        <f>2574.08</f>
        <v>2574.08</v>
      </c>
      <c r="C14" s="19">
        <f>1500</f>
        <v>1500</v>
      </c>
      <c r="D14" s="35">
        <f t="shared" si="0"/>
        <v>1.7160533333333332</v>
      </c>
    </row>
    <row r="15" spans="1:4" ht="14" x14ac:dyDescent="0.3">
      <c r="A15" s="17" t="s">
        <v>12</v>
      </c>
      <c r="B15" s="18"/>
      <c r="C15" s="19">
        <f>5000</f>
        <v>5000</v>
      </c>
      <c r="D15" s="35">
        <f t="shared" si="0"/>
        <v>0</v>
      </c>
    </row>
    <row r="16" spans="1:4" ht="14" x14ac:dyDescent="0.3">
      <c r="A16" s="17" t="s">
        <v>231</v>
      </c>
      <c r="B16" s="18"/>
      <c r="C16" s="19">
        <f>8000</f>
        <v>8000</v>
      </c>
      <c r="D16" s="35">
        <f t="shared" si="0"/>
        <v>0</v>
      </c>
    </row>
    <row r="17" spans="1:4" ht="14" x14ac:dyDescent="0.3">
      <c r="A17" s="17" t="s">
        <v>13</v>
      </c>
      <c r="B17" s="18"/>
      <c r="C17" s="19">
        <f>21000</f>
        <v>21000</v>
      </c>
      <c r="D17" s="35">
        <f t="shared" si="0"/>
        <v>0</v>
      </c>
    </row>
    <row r="18" spans="1:4" ht="14" x14ac:dyDescent="0.3">
      <c r="A18" s="17" t="s">
        <v>14</v>
      </c>
      <c r="B18" s="18"/>
      <c r="C18" s="19">
        <f>4500</f>
        <v>4500</v>
      </c>
      <c r="D18" s="35">
        <f t="shared" si="0"/>
        <v>0</v>
      </c>
    </row>
    <row r="19" spans="1:4" ht="14" x14ac:dyDescent="0.3">
      <c r="A19" s="17" t="s">
        <v>15</v>
      </c>
      <c r="B19" s="20">
        <f>(((((((((B9)+(B10))+(B11))+(B12))+(B13))+(B14))+(B15))+(B16))+(B17))+(B18)</f>
        <v>61669.490000000005</v>
      </c>
      <c r="C19" s="20">
        <f>(((((((((C9)+(C10))+(C11))+(C12))+(C13))+(C14))+(C15))+(C16))+(C17))+(C18)</f>
        <v>330933</v>
      </c>
      <c r="D19" s="22">
        <f t="shared" si="0"/>
        <v>0.18635037907975333</v>
      </c>
    </row>
    <row r="20" spans="1:4" ht="14" x14ac:dyDescent="0.3">
      <c r="A20" s="17" t="s">
        <v>16</v>
      </c>
      <c r="B20" s="18"/>
      <c r="C20" s="18"/>
      <c r="D20" s="35" t="str">
        <f t="shared" si="0"/>
        <v/>
      </c>
    </row>
    <row r="21" spans="1:4" ht="15.75" customHeight="1" x14ac:dyDescent="0.3">
      <c r="A21" s="17" t="s">
        <v>17</v>
      </c>
      <c r="B21" s="19">
        <f>60</f>
        <v>60</v>
      </c>
      <c r="C21" s="19">
        <f>4800</f>
        <v>4800</v>
      </c>
      <c r="D21" s="35">
        <f t="shared" si="0"/>
        <v>1.2500000000000001E-2</v>
      </c>
    </row>
    <row r="22" spans="1:4" ht="15.75" customHeight="1" x14ac:dyDescent="0.3">
      <c r="A22" s="17" t="s">
        <v>18</v>
      </c>
      <c r="B22" s="19">
        <f>75</f>
        <v>75</v>
      </c>
      <c r="C22" s="19">
        <f>750</f>
        <v>750</v>
      </c>
      <c r="D22" s="35">
        <f t="shared" si="0"/>
        <v>0.1</v>
      </c>
    </row>
    <row r="23" spans="1:4" ht="15.75" customHeight="1" x14ac:dyDescent="0.3">
      <c r="A23" s="17" t="s">
        <v>19</v>
      </c>
      <c r="B23" s="20">
        <f>((B20)+(B21))+(B22)</f>
        <v>135</v>
      </c>
      <c r="C23" s="20">
        <f>((C20)+(C21))+(C22)</f>
        <v>5550</v>
      </c>
      <c r="D23" s="22">
        <f t="shared" si="0"/>
        <v>2.4324324324324326E-2</v>
      </c>
    </row>
    <row r="24" spans="1:4" ht="15.75" customHeight="1" x14ac:dyDescent="0.3">
      <c r="A24" s="17" t="s">
        <v>20</v>
      </c>
      <c r="B24" s="18"/>
      <c r="C24" s="18"/>
      <c r="D24" s="35" t="str">
        <f t="shared" si="0"/>
        <v/>
      </c>
    </row>
    <row r="25" spans="1:4" ht="15.75" customHeight="1" x14ac:dyDescent="0.3">
      <c r="A25" s="17" t="s">
        <v>21</v>
      </c>
      <c r="B25" s="18"/>
      <c r="C25" s="19">
        <f>140</f>
        <v>140</v>
      </c>
      <c r="D25" s="35">
        <f t="shared" si="0"/>
        <v>0</v>
      </c>
    </row>
    <row r="26" spans="1:4" ht="15.75" customHeight="1" x14ac:dyDescent="0.3">
      <c r="A26" s="17" t="s">
        <v>241</v>
      </c>
      <c r="B26" s="19">
        <f>4741.29</f>
        <v>4741.29</v>
      </c>
      <c r="C26" s="19">
        <f>30000</f>
        <v>30000</v>
      </c>
      <c r="D26" s="35">
        <f t="shared" si="0"/>
        <v>0.15804299999999999</v>
      </c>
    </row>
    <row r="27" spans="1:4" ht="15.75" customHeight="1" x14ac:dyDescent="0.3">
      <c r="A27" s="17" t="s">
        <v>22</v>
      </c>
      <c r="B27" s="18"/>
      <c r="C27" s="19">
        <f>500</f>
        <v>500</v>
      </c>
      <c r="D27" s="35">
        <f t="shared" si="0"/>
        <v>0</v>
      </c>
    </row>
    <row r="28" spans="1:4" ht="15.75" customHeight="1" x14ac:dyDescent="0.3">
      <c r="A28" s="17" t="s">
        <v>23</v>
      </c>
      <c r="B28" s="18"/>
      <c r="C28" s="19">
        <f>1750</f>
        <v>1750</v>
      </c>
      <c r="D28" s="35">
        <f t="shared" si="0"/>
        <v>0</v>
      </c>
    </row>
    <row r="29" spans="1:4" ht="15.75" customHeight="1" x14ac:dyDescent="0.3">
      <c r="A29" s="17" t="s">
        <v>24</v>
      </c>
      <c r="B29" s="18"/>
      <c r="C29" s="19">
        <f>1000</f>
        <v>1000</v>
      </c>
      <c r="D29" s="35">
        <f t="shared" si="0"/>
        <v>0</v>
      </c>
    </row>
    <row r="30" spans="1:4" ht="15.75" customHeight="1" x14ac:dyDescent="0.3">
      <c r="A30" s="17" t="s">
        <v>25</v>
      </c>
      <c r="B30" s="18"/>
      <c r="C30" s="19">
        <f>50</f>
        <v>50</v>
      </c>
      <c r="D30" s="35">
        <f t="shared" si="0"/>
        <v>0</v>
      </c>
    </row>
    <row r="31" spans="1:4" ht="15.75" customHeight="1" x14ac:dyDescent="0.3">
      <c r="A31" s="17" t="s">
        <v>26</v>
      </c>
      <c r="B31" s="20">
        <f>((((((B24)+(B25))+(B26))+(B27))+(B28))+(B29))+(B30)</f>
        <v>4741.29</v>
      </c>
      <c r="C31" s="20">
        <f>((((((C24)+(C25))+(C26))+(C27))+(C28))+(C29))+(C30)</f>
        <v>33440</v>
      </c>
      <c r="D31" s="22">
        <f t="shared" si="0"/>
        <v>0.14178498803827752</v>
      </c>
    </row>
    <row r="32" spans="1:4" ht="15.75" customHeight="1" x14ac:dyDescent="0.3">
      <c r="A32" s="17" t="s">
        <v>27</v>
      </c>
      <c r="B32" s="18"/>
      <c r="C32" s="18"/>
      <c r="D32" s="35" t="str">
        <f t="shared" si="0"/>
        <v/>
      </c>
    </row>
    <row r="33" spans="1:4" ht="15.75" customHeight="1" x14ac:dyDescent="0.3">
      <c r="A33" s="17" t="s">
        <v>28</v>
      </c>
      <c r="B33" s="19">
        <f>7972.43</f>
        <v>7972.43</v>
      </c>
      <c r="C33" s="19">
        <f>400</f>
        <v>400</v>
      </c>
      <c r="D33" s="35">
        <f t="shared" si="0"/>
        <v>19.931075</v>
      </c>
    </row>
    <row r="34" spans="1:4" ht="15.75" customHeight="1" x14ac:dyDescent="0.3">
      <c r="A34" s="17" t="s">
        <v>29</v>
      </c>
      <c r="B34" s="19">
        <f>917.5</f>
        <v>917.5</v>
      </c>
      <c r="C34" s="19">
        <f>12100</f>
        <v>12100</v>
      </c>
      <c r="D34" s="35">
        <f t="shared" si="0"/>
        <v>7.5826446280991736E-2</v>
      </c>
    </row>
    <row r="35" spans="1:4" ht="15.75" customHeight="1" x14ac:dyDescent="0.3">
      <c r="A35" s="17" t="s">
        <v>242</v>
      </c>
      <c r="B35" s="18"/>
      <c r="C35" s="19">
        <f>1500</f>
        <v>1500</v>
      </c>
      <c r="D35" s="35">
        <f t="shared" si="0"/>
        <v>0</v>
      </c>
    </row>
    <row r="36" spans="1:4" ht="15.75" customHeight="1" x14ac:dyDescent="0.3">
      <c r="A36" s="17" t="s">
        <v>30</v>
      </c>
      <c r="B36" s="20">
        <f>(((B32)+(B33))+(B34))+(B35)</f>
        <v>8889.93</v>
      </c>
      <c r="C36" s="20">
        <f>(((C32)+(C33))+(C34))+(C35)</f>
        <v>14000</v>
      </c>
      <c r="D36" s="22">
        <f t="shared" si="0"/>
        <v>0.63499499999999998</v>
      </c>
    </row>
    <row r="37" spans="1:4" ht="15.75" customHeight="1" x14ac:dyDescent="0.3">
      <c r="A37" s="17" t="s">
        <v>31</v>
      </c>
      <c r="B37" s="20">
        <f>((((B8)+(B19))+(B23))+(B31))+(B36)</f>
        <v>75435.709999999992</v>
      </c>
      <c r="C37" s="20">
        <f>((((C8)+(C19))+(C23))+(C31))+(C36)</f>
        <v>1836656</v>
      </c>
      <c r="D37" s="22">
        <f t="shared" si="0"/>
        <v>4.1072312942652296E-2</v>
      </c>
    </row>
    <row r="38" spans="1:4" ht="15.75" customHeight="1" x14ac:dyDescent="0.3">
      <c r="A38" s="17" t="s">
        <v>32</v>
      </c>
      <c r="B38" s="20">
        <f>(B37)-(0)</f>
        <v>75435.709999999992</v>
      </c>
      <c r="C38" s="20">
        <f>(C37)-(0)</f>
        <v>1836656</v>
      </c>
      <c r="D38" s="22">
        <f t="shared" si="0"/>
        <v>4.1072312942652296E-2</v>
      </c>
    </row>
    <row r="39" spans="1:4" ht="15.75" customHeight="1" x14ac:dyDescent="0.3">
      <c r="A39" s="17" t="s">
        <v>33</v>
      </c>
      <c r="B39" s="18"/>
      <c r="C39" s="18"/>
      <c r="D39" s="18"/>
    </row>
    <row r="40" spans="1:4" ht="15.75" customHeight="1" x14ac:dyDescent="0.3">
      <c r="A40" s="17" t="s">
        <v>34</v>
      </c>
      <c r="B40" s="18"/>
      <c r="C40" s="18"/>
      <c r="D40" s="35" t="str">
        <f t="shared" ref="D40:D103" si="1">IF(C40=0,"",(B40)/(C40))</f>
        <v/>
      </c>
    </row>
    <row r="41" spans="1:4" ht="15.75" customHeight="1" x14ac:dyDescent="0.3">
      <c r="A41" s="17" t="s">
        <v>35</v>
      </c>
      <c r="B41" s="18"/>
      <c r="C41" s="18"/>
      <c r="D41" s="35" t="str">
        <f t="shared" si="1"/>
        <v/>
      </c>
    </row>
    <row r="42" spans="1:4" ht="15.75" customHeight="1" x14ac:dyDescent="0.3">
      <c r="A42" s="17" t="s">
        <v>36</v>
      </c>
      <c r="B42" s="19">
        <f>2700</f>
        <v>2700</v>
      </c>
      <c r="C42" s="19">
        <f>33260</f>
        <v>33260</v>
      </c>
      <c r="D42" s="35">
        <f t="shared" si="1"/>
        <v>8.1178592904389654E-2</v>
      </c>
    </row>
    <row r="43" spans="1:4" ht="15.75" customHeight="1" x14ac:dyDescent="0.3">
      <c r="A43" s="17" t="s">
        <v>37</v>
      </c>
      <c r="B43" s="18"/>
      <c r="C43" s="19">
        <f>2400</f>
        <v>2400</v>
      </c>
      <c r="D43" s="35">
        <f t="shared" si="1"/>
        <v>0</v>
      </c>
    </row>
    <row r="44" spans="1:4" ht="15.75" customHeight="1" x14ac:dyDescent="0.3">
      <c r="A44" s="17" t="s">
        <v>38</v>
      </c>
      <c r="B44" s="18"/>
      <c r="C44" s="19">
        <f>1000</f>
        <v>1000</v>
      </c>
      <c r="D44" s="35">
        <f t="shared" si="1"/>
        <v>0</v>
      </c>
    </row>
    <row r="45" spans="1:4" ht="15.75" customHeight="1" x14ac:dyDescent="0.3">
      <c r="A45" s="17" t="s">
        <v>39</v>
      </c>
      <c r="B45" s="20">
        <f>(((B41)+(B42))+(B43))+(B44)</f>
        <v>2700</v>
      </c>
      <c r="C45" s="20">
        <f>(((C41)+(C42))+(C43))+(C44)</f>
        <v>36660</v>
      </c>
      <c r="D45" s="22">
        <f t="shared" si="1"/>
        <v>7.3649754500818329E-2</v>
      </c>
    </row>
    <row r="46" spans="1:4" ht="15.75" customHeight="1" x14ac:dyDescent="0.3">
      <c r="A46" s="17" t="s">
        <v>40</v>
      </c>
      <c r="B46" s="18"/>
      <c r="C46" s="18"/>
      <c r="D46" s="35" t="str">
        <f t="shared" si="1"/>
        <v/>
      </c>
    </row>
    <row r="47" spans="1:4" ht="15.75" customHeight="1" x14ac:dyDescent="0.3">
      <c r="A47" s="17" t="s">
        <v>41</v>
      </c>
      <c r="B47" s="18"/>
      <c r="C47" s="19">
        <f>1500</f>
        <v>1500</v>
      </c>
      <c r="D47" s="35">
        <f t="shared" si="1"/>
        <v>0</v>
      </c>
    </row>
    <row r="48" spans="1:4" ht="15.75" customHeight="1" x14ac:dyDescent="0.3">
      <c r="A48" s="17" t="s">
        <v>42</v>
      </c>
      <c r="B48" s="20">
        <f>(B46)+(B47)</f>
        <v>0</v>
      </c>
      <c r="C48" s="20">
        <f>(C46)+(C47)</f>
        <v>1500</v>
      </c>
      <c r="D48" s="22">
        <f t="shared" si="1"/>
        <v>0</v>
      </c>
    </row>
    <row r="49" spans="1:4" ht="15.75" customHeight="1" x14ac:dyDescent="0.3">
      <c r="A49" s="17" t="s">
        <v>43</v>
      </c>
      <c r="B49" s="18"/>
      <c r="C49" s="18"/>
      <c r="D49" s="35" t="str">
        <f t="shared" si="1"/>
        <v/>
      </c>
    </row>
    <row r="50" spans="1:4" ht="15.75" customHeight="1" x14ac:dyDescent="0.3">
      <c r="A50" s="17" t="s">
        <v>44</v>
      </c>
      <c r="B50" s="19">
        <f>3420.8</f>
        <v>3420.8</v>
      </c>
      <c r="C50" s="19">
        <f>46015</f>
        <v>46015</v>
      </c>
      <c r="D50" s="35">
        <f t="shared" si="1"/>
        <v>7.434097576877105E-2</v>
      </c>
    </row>
    <row r="51" spans="1:4" ht="15.75" customHeight="1" x14ac:dyDescent="0.3">
      <c r="A51" s="17" t="s">
        <v>45</v>
      </c>
      <c r="B51" s="19">
        <f>1794</f>
        <v>1794</v>
      </c>
      <c r="C51" s="19">
        <f>21540</f>
        <v>21540</v>
      </c>
      <c r="D51" s="35">
        <f t="shared" si="1"/>
        <v>8.3286908077994423E-2</v>
      </c>
    </row>
    <row r="52" spans="1:4" ht="15.75" customHeight="1" x14ac:dyDescent="0.3">
      <c r="A52" s="17" t="s">
        <v>46</v>
      </c>
      <c r="B52" s="19">
        <f>864</f>
        <v>864</v>
      </c>
      <c r="C52" s="19">
        <f>11232</f>
        <v>11232</v>
      </c>
      <c r="D52" s="35">
        <f t="shared" si="1"/>
        <v>7.6923076923076927E-2</v>
      </c>
    </row>
    <row r="53" spans="1:4" ht="15.75" customHeight="1" x14ac:dyDescent="0.3">
      <c r="A53" s="17" t="s">
        <v>262</v>
      </c>
      <c r="B53" s="18"/>
      <c r="C53" s="19">
        <f>1000</f>
        <v>1000</v>
      </c>
      <c r="D53" s="35">
        <f t="shared" si="1"/>
        <v>0</v>
      </c>
    </row>
    <row r="54" spans="1:4" ht="15.75" customHeight="1" x14ac:dyDescent="0.3">
      <c r="A54" s="17" t="s">
        <v>47</v>
      </c>
      <c r="B54" s="18"/>
      <c r="C54" s="19">
        <f>1500</f>
        <v>1500</v>
      </c>
      <c r="D54" s="35">
        <f t="shared" si="1"/>
        <v>0</v>
      </c>
    </row>
    <row r="55" spans="1:4" ht="15.75" customHeight="1" x14ac:dyDescent="0.3">
      <c r="A55" s="17" t="s">
        <v>48</v>
      </c>
      <c r="B55" s="18"/>
      <c r="C55" s="19">
        <f>5000</f>
        <v>5000</v>
      </c>
      <c r="D55" s="35">
        <f t="shared" si="1"/>
        <v>0</v>
      </c>
    </row>
    <row r="56" spans="1:4" ht="15.75" customHeight="1" x14ac:dyDescent="0.3">
      <c r="A56" s="17" t="s">
        <v>49</v>
      </c>
      <c r="B56" s="18"/>
      <c r="C56" s="19">
        <f>2100</f>
        <v>2100</v>
      </c>
      <c r="D56" s="35">
        <f t="shared" si="1"/>
        <v>0</v>
      </c>
    </row>
    <row r="57" spans="1:4" ht="15.75" customHeight="1" x14ac:dyDescent="0.3">
      <c r="A57" s="17" t="s">
        <v>50</v>
      </c>
      <c r="B57" s="18"/>
      <c r="C57" s="19">
        <f>100</f>
        <v>100</v>
      </c>
      <c r="D57" s="35">
        <f t="shared" si="1"/>
        <v>0</v>
      </c>
    </row>
    <row r="58" spans="1:4" ht="15.75" customHeight="1" x14ac:dyDescent="0.3">
      <c r="A58" s="17" t="s">
        <v>51</v>
      </c>
      <c r="B58" s="19">
        <f>1800</f>
        <v>1800</v>
      </c>
      <c r="C58" s="19">
        <f>2500</f>
        <v>2500</v>
      </c>
      <c r="D58" s="35">
        <f t="shared" si="1"/>
        <v>0.72</v>
      </c>
    </row>
    <row r="59" spans="1:4" ht="15.75" customHeight="1" x14ac:dyDescent="0.3">
      <c r="A59" s="17" t="s">
        <v>52</v>
      </c>
      <c r="B59" s="19">
        <f>700.84</f>
        <v>700.84</v>
      </c>
      <c r="C59" s="19">
        <f>7500</f>
        <v>7500</v>
      </c>
      <c r="D59" s="35">
        <f t="shared" si="1"/>
        <v>9.3445333333333339E-2</v>
      </c>
    </row>
    <row r="60" spans="1:4" ht="15.75" customHeight="1" x14ac:dyDescent="0.3">
      <c r="A60" s="17" t="s">
        <v>53</v>
      </c>
      <c r="B60" s="18"/>
      <c r="C60" s="19">
        <f>700</f>
        <v>700</v>
      </c>
      <c r="D60" s="35">
        <f t="shared" si="1"/>
        <v>0</v>
      </c>
    </row>
    <row r="61" spans="1:4" ht="15.75" customHeight="1" x14ac:dyDescent="0.3">
      <c r="A61" s="17" t="s">
        <v>54</v>
      </c>
      <c r="B61" s="18"/>
      <c r="C61" s="19">
        <f>575</f>
        <v>575</v>
      </c>
      <c r="D61" s="35">
        <f t="shared" si="1"/>
        <v>0</v>
      </c>
    </row>
    <row r="62" spans="1:4" ht="15.75" customHeight="1" x14ac:dyDescent="0.3">
      <c r="A62" s="17" t="s">
        <v>55</v>
      </c>
      <c r="B62" s="20">
        <f>((((((((((((B49)+(B50))+(B51))+(B52))+(B53))+(B54))+(B55))+(B56))+(B57))+(B58))+(B59))+(B60))+(B61)</f>
        <v>8579.64</v>
      </c>
      <c r="C62" s="20">
        <f>((((((((((((C49)+(C50))+(C51))+(C52))+(C53))+(C54))+(C55))+(C56))+(C57))+(C58))+(C59))+(C60))+(C61)</f>
        <v>99762</v>
      </c>
      <c r="D62" s="22">
        <f t="shared" si="1"/>
        <v>8.6001082576532134E-2</v>
      </c>
    </row>
    <row r="63" spans="1:4" ht="15.75" customHeight="1" x14ac:dyDescent="0.3">
      <c r="A63" s="17" t="s">
        <v>56</v>
      </c>
      <c r="B63" s="18"/>
      <c r="C63" s="18"/>
      <c r="D63" s="35" t="str">
        <f t="shared" si="1"/>
        <v/>
      </c>
    </row>
    <row r="64" spans="1:4" ht="15.75" customHeight="1" x14ac:dyDescent="0.3">
      <c r="A64" s="17" t="s">
        <v>57</v>
      </c>
      <c r="B64" s="18"/>
      <c r="C64" s="19">
        <f>1400</f>
        <v>1400</v>
      </c>
      <c r="D64" s="35">
        <f t="shared" si="1"/>
        <v>0</v>
      </c>
    </row>
    <row r="65" spans="1:4" ht="15.75" customHeight="1" x14ac:dyDescent="0.3">
      <c r="A65" s="17" t="s">
        <v>58</v>
      </c>
      <c r="B65" s="18"/>
      <c r="C65" s="19">
        <f>400</f>
        <v>400</v>
      </c>
      <c r="D65" s="35">
        <f t="shared" si="1"/>
        <v>0</v>
      </c>
    </row>
    <row r="66" spans="1:4" ht="15.75" customHeight="1" x14ac:dyDescent="0.3">
      <c r="A66" s="17" t="s">
        <v>59</v>
      </c>
      <c r="B66" s="18"/>
      <c r="C66" s="19">
        <f>200</f>
        <v>200</v>
      </c>
      <c r="D66" s="35">
        <f t="shared" si="1"/>
        <v>0</v>
      </c>
    </row>
    <row r="67" spans="1:4" ht="15.75" customHeight="1" x14ac:dyDescent="0.3">
      <c r="A67" s="17" t="s">
        <v>60</v>
      </c>
      <c r="B67" s="18"/>
      <c r="C67" s="19">
        <f>600</f>
        <v>600</v>
      </c>
      <c r="D67" s="35">
        <f t="shared" si="1"/>
        <v>0</v>
      </c>
    </row>
    <row r="68" spans="1:4" ht="15.75" customHeight="1" x14ac:dyDescent="0.3">
      <c r="A68" s="17" t="s">
        <v>61</v>
      </c>
      <c r="B68" s="20">
        <f>((((B63)+(B64))+(B65))+(B66))+(B67)</f>
        <v>0</v>
      </c>
      <c r="C68" s="20">
        <f>((((C63)+(C64))+(C65))+(C66))+(C67)</f>
        <v>2600</v>
      </c>
      <c r="D68" s="22">
        <f t="shared" si="1"/>
        <v>0</v>
      </c>
    </row>
    <row r="69" spans="1:4" ht="15.75" customHeight="1" x14ac:dyDescent="0.3">
      <c r="A69" s="17" t="s">
        <v>62</v>
      </c>
      <c r="B69" s="18"/>
      <c r="C69" s="18"/>
      <c r="D69" s="35" t="str">
        <f t="shared" si="1"/>
        <v/>
      </c>
    </row>
    <row r="70" spans="1:4" ht="15.75" customHeight="1" x14ac:dyDescent="0.3">
      <c r="A70" s="17" t="s">
        <v>63</v>
      </c>
      <c r="B70" s="18"/>
      <c r="C70" s="19">
        <f>3000</f>
        <v>3000</v>
      </c>
      <c r="D70" s="35">
        <f t="shared" si="1"/>
        <v>0</v>
      </c>
    </row>
    <row r="71" spans="1:4" ht="15.75" customHeight="1" x14ac:dyDescent="0.3">
      <c r="A71" s="17" t="s">
        <v>64</v>
      </c>
      <c r="B71" s="19">
        <f>1605</f>
        <v>1605</v>
      </c>
      <c r="C71" s="19">
        <f>19260</f>
        <v>19260</v>
      </c>
      <c r="D71" s="35">
        <f t="shared" si="1"/>
        <v>8.3333333333333329E-2</v>
      </c>
    </row>
    <row r="72" spans="1:4" ht="15.75" customHeight="1" x14ac:dyDescent="0.3">
      <c r="A72" s="17" t="s">
        <v>65</v>
      </c>
      <c r="B72" s="20">
        <f>((B69)+(B70))+(B71)</f>
        <v>1605</v>
      </c>
      <c r="C72" s="20">
        <f>((C69)+(C70))+(C71)</f>
        <v>22260</v>
      </c>
      <c r="D72" s="22">
        <f t="shared" si="1"/>
        <v>7.2102425876010776E-2</v>
      </c>
    </row>
    <row r="73" spans="1:4" ht="15.75" customHeight="1" x14ac:dyDescent="0.3">
      <c r="A73" s="17" t="s">
        <v>66</v>
      </c>
      <c r="B73" s="18"/>
      <c r="C73" s="18"/>
      <c r="D73" s="35" t="str">
        <f t="shared" si="1"/>
        <v/>
      </c>
    </row>
    <row r="74" spans="1:4" ht="15.75" customHeight="1" x14ac:dyDescent="0.3">
      <c r="A74" s="17" t="s">
        <v>67</v>
      </c>
      <c r="B74" s="18"/>
      <c r="C74" s="19">
        <f>17500</f>
        <v>17500</v>
      </c>
      <c r="D74" s="35">
        <f t="shared" si="1"/>
        <v>0</v>
      </c>
    </row>
    <row r="75" spans="1:4" ht="15.75" customHeight="1" x14ac:dyDescent="0.3">
      <c r="A75" s="17" t="s">
        <v>68</v>
      </c>
      <c r="B75" s="18"/>
      <c r="C75" s="19">
        <f>200</f>
        <v>200</v>
      </c>
      <c r="D75" s="35">
        <f t="shared" si="1"/>
        <v>0</v>
      </c>
    </row>
    <row r="76" spans="1:4" ht="15" hidden="1" customHeight="1" x14ac:dyDescent="0.3">
      <c r="A76" s="17" t="s">
        <v>69</v>
      </c>
      <c r="B76" s="18"/>
      <c r="C76" s="19">
        <f>1750</f>
        <v>1750</v>
      </c>
      <c r="D76" s="35">
        <f t="shared" si="1"/>
        <v>0</v>
      </c>
    </row>
    <row r="77" spans="1:4" ht="15.75" customHeight="1" x14ac:dyDescent="0.3">
      <c r="A77" s="17" t="s">
        <v>70</v>
      </c>
      <c r="B77" s="20">
        <f>(((B73)+(B74))+(B75))+(B76)</f>
        <v>0</v>
      </c>
      <c r="C77" s="20">
        <f>(((C73)+(C74))+(C75))+(C76)</f>
        <v>19450</v>
      </c>
      <c r="D77" s="22">
        <f t="shared" si="1"/>
        <v>0</v>
      </c>
    </row>
    <row r="78" spans="1:4" ht="15.75" customHeight="1" x14ac:dyDescent="0.3">
      <c r="A78" s="17" t="s">
        <v>71</v>
      </c>
      <c r="B78" s="18"/>
      <c r="C78" s="18"/>
      <c r="D78" s="35" t="str">
        <f t="shared" si="1"/>
        <v/>
      </c>
    </row>
    <row r="79" spans="1:4" ht="15" hidden="1" customHeight="1" x14ac:dyDescent="0.3">
      <c r="A79" s="17" t="s">
        <v>72</v>
      </c>
      <c r="B79" s="18"/>
      <c r="C79" s="19">
        <f>3300</f>
        <v>3300</v>
      </c>
      <c r="D79" s="35">
        <f t="shared" si="1"/>
        <v>0</v>
      </c>
    </row>
    <row r="80" spans="1:4" ht="15.75" customHeight="1" x14ac:dyDescent="0.3">
      <c r="A80" s="17" t="s">
        <v>73</v>
      </c>
      <c r="B80" s="19">
        <f>336.97</f>
        <v>336.97</v>
      </c>
      <c r="C80" s="19">
        <f>4000</f>
        <v>4000</v>
      </c>
      <c r="D80" s="35">
        <f t="shared" si="1"/>
        <v>8.4242500000000012E-2</v>
      </c>
    </row>
    <row r="81" spans="1:4" ht="15.75" customHeight="1" x14ac:dyDescent="0.3">
      <c r="A81" s="17" t="s">
        <v>74</v>
      </c>
      <c r="B81" s="18"/>
      <c r="C81" s="19">
        <f>4000</f>
        <v>4000</v>
      </c>
      <c r="D81" s="35">
        <f t="shared" si="1"/>
        <v>0</v>
      </c>
    </row>
    <row r="82" spans="1:4" ht="15.75" customHeight="1" x14ac:dyDescent="0.3">
      <c r="A82" s="17" t="s">
        <v>75</v>
      </c>
      <c r="B82" s="19">
        <f>1453.59</f>
        <v>1453.59</v>
      </c>
      <c r="C82" s="19">
        <f>12000</f>
        <v>12000</v>
      </c>
      <c r="D82" s="35">
        <f t="shared" si="1"/>
        <v>0.12113249999999999</v>
      </c>
    </row>
    <row r="83" spans="1:4" ht="15.75" customHeight="1" x14ac:dyDescent="0.3">
      <c r="A83" s="17" t="s">
        <v>76</v>
      </c>
      <c r="B83" s="19">
        <f>245.19</f>
        <v>245.19</v>
      </c>
      <c r="C83" s="19">
        <f>4100</f>
        <v>4100</v>
      </c>
      <c r="D83" s="35">
        <f t="shared" si="1"/>
        <v>5.9802439024390246E-2</v>
      </c>
    </row>
    <row r="84" spans="1:4" ht="15.75" customHeight="1" x14ac:dyDescent="0.3">
      <c r="A84" s="17" t="s">
        <v>77</v>
      </c>
      <c r="B84" s="18"/>
      <c r="C84" s="19">
        <f>1200</f>
        <v>1200</v>
      </c>
      <c r="D84" s="35">
        <f t="shared" si="1"/>
        <v>0</v>
      </c>
    </row>
    <row r="85" spans="1:4" ht="15.75" customHeight="1" x14ac:dyDescent="0.3">
      <c r="A85" s="17" t="s">
        <v>78</v>
      </c>
      <c r="B85" s="19">
        <f>423.3</f>
        <v>423.3</v>
      </c>
      <c r="C85" s="19">
        <f>5000</f>
        <v>5000</v>
      </c>
      <c r="D85" s="35">
        <f t="shared" si="1"/>
        <v>8.4659999999999999E-2</v>
      </c>
    </row>
    <row r="86" spans="1:4" ht="15.75" customHeight="1" x14ac:dyDescent="0.3">
      <c r="A86" s="17" t="s">
        <v>316</v>
      </c>
      <c r="B86" s="18"/>
      <c r="C86" s="19">
        <f>5331</f>
        <v>5331</v>
      </c>
      <c r="D86" s="35">
        <f t="shared" si="1"/>
        <v>0</v>
      </c>
    </row>
    <row r="87" spans="1:4" ht="15.75" customHeight="1" x14ac:dyDescent="0.3">
      <c r="A87" s="17" t="s">
        <v>79</v>
      </c>
      <c r="B87" s="20">
        <f>((((((((B78)+(B79))+(B80))+(B81))+(B82))+(B83))+(B84))+(B85))+(B86)</f>
        <v>2459.0500000000002</v>
      </c>
      <c r="C87" s="20">
        <f>((((((((C78)+(C79))+(C80))+(C81))+(C82))+(C83))+(C84))+(C85))+(C86)</f>
        <v>38931</v>
      </c>
      <c r="D87" s="22">
        <f t="shared" si="1"/>
        <v>6.3164316354576047E-2</v>
      </c>
    </row>
    <row r="88" spans="1:4" ht="15.75" customHeight="1" x14ac:dyDescent="0.3">
      <c r="A88" s="17" t="s">
        <v>80</v>
      </c>
      <c r="B88" s="18"/>
      <c r="C88" s="18"/>
      <c r="D88" s="35" t="str">
        <f t="shared" si="1"/>
        <v/>
      </c>
    </row>
    <row r="89" spans="1:4" ht="15.75" customHeight="1" x14ac:dyDescent="0.3">
      <c r="A89" s="17" t="s">
        <v>81</v>
      </c>
      <c r="B89" s="18"/>
      <c r="C89" s="19">
        <f>1610</f>
        <v>1610</v>
      </c>
      <c r="D89" s="35">
        <f t="shared" si="1"/>
        <v>0</v>
      </c>
    </row>
    <row r="90" spans="1:4" ht="15.75" customHeight="1" x14ac:dyDescent="0.3">
      <c r="A90" s="17" t="s">
        <v>82</v>
      </c>
      <c r="B90" s="18"/>
      <c r="C90" s="19">
        <f>11730</f>
        <v>11730</v>
      </c>
      <c r="D90" s="35">
        <f t="shared" si="1"/>
        <v>0</v>
      </c>
    </row>
    <row r="91" spans="1:4" ht="15.75" customHeight="1" x14ac:dyDescent="0.3">
      <c r="A91" s="17" t="s">
        <v>83</v>
      </c>
      <c r="B91" s="18"/>
      <c r="C91" s="19">
        <f>21138</f>
        <v>21138</v>
      </c>
      <c r="D91" s="35">
        <f t="shared" si="1"/>
        <v>0</v>
      </c>
    </row>
    <row r="92" spans="1:4" ht="15.75" customHeight="1" x14ac:dyDescent="0.3">
      <c r="A92" s="17" t="s">
        <v>84</v>
      </c>
      <c r="B92" s="19">
        <f>2597.13</f>
        <v>2597.13</v>
      </c>
      <c r="C92" s="19">
        <f>2680</f>
        <v>2680</v>
      </c>
      <c r="D92" s="35">
        <f t="shared" si="1"/>
        <v>0.96907835820895527</v>
      </c>
    </row>
    <row r="93" spans="1:4" ht="15.75" customHeight="1" x14ac:dyDescent="0.3">
      <c r="A93" s="17" t="s">
        <v>85</v>
      </c>
      <c r="B93" s="20">
        <f>((((B88)+(B89))+(B90))+(B91))+(B92)</f>
        <v>2597.13</v>
      </c>
      <c r="C93" s="20">
        <f>((((C88)+(C89))+(C90))+(C91))+(C92)</f>
        <v>37158</v>
      </c>
      <c r="D93" s="22">
        <f t="shared" si="1"/>
        <v>6.9894235427095108E-2</v>
      </c>
    </row>
    <row r="94" spans="1:4" ht="15.75" customHeight="1" x14ac:dyDescent="0.3">
      <c r="A94" s="17" t="s">
        <v>86</v>
      </c>
      <c r="B94" s="20">
        <f>((((((((B40)+(B45))+(B48))+(B62))+(B68))+(B72))+(B77))+(B87))+(B93)</f>
        <v>17940.82</v>
      </c>
      <c r="C94" s="20">
        <f>((((((((C40)+(C45))+(C48))+(C62))+(C68))+(C72))+(C77))+(C87))+(C93)</f>
        <v>258321</v>
      </c>
      <c r="D94" s="22">
        <f t="shared" si="1"/>
        <v>6.9451651240123716E-2</v>
      </c>
    </row>
    <row r="95" spans="1:4" ht="15.75" customHeight="1" x14ac:dyDescent="0.3">
      <c r="A95" s="17" t="s">
        <v>87</v>
      </c>
      <c r="B95" s="18"/>
      <c r="C95" s="18"/>
      <c r="D95" s="35" t="str">
        <f t="shared" si="1"/>
        <v/>
      </c>
    </row>
    <row r="96" spans="1:4" ht="15.75" customHeight="1" x14ac:dyDescent="0.3">
      <c r="A96" s="17" t="s">
        <v>88</v>
      </c>
      <c r="B96" s="18"/>
      <c r="C96" s="18"/>
      <c r="D96" s="35" t="str">
        <f t="shared" si="1"/>
        <v/>
      </c>
    </row>
    <row r="97" spans="1:4" ht="15.75" customHeight="1" x14ac:dyDescent="0.3">
      <c r="A97" s="17" t="s">
        <v>89</v>
      </c>
      <c r="B97" s="19">
        <f>720</f>
        <v>720</v>
      </c>
      <c r="C97" s="19">
        <f>8800</f>
        <v>8800</v>
      </c>
      <c r="D97" s="35">
        <f t="shared" si="1"/>
        <v>8.1818181818181818E-2</v>
      </c>
    </row>
    <row r="98" spans="1:4" ht="15.75" customHeight="1" x14ac:dyDescent="0.3">
      <c r="A98" s="17" t="s">
        <v>90</v>
      </c>
      <c r="B98" s="18"/>
      <c r="C98" s="19">
        <f>17000</f>
        <v>17000</v>
      </c>
      <c r="D98" s="35">
        <f t="shared" si="1"/>
        <v>0</v>
      </c>
    </row>
    <row r="99" spans="1:4" ht="15.75" customHeight="1" x14ac:dyDescent="0.3">
      <c r="A99" s="17" t="s">
        <v>91</v>
      </c>
      <c r="B99" s="18"/>
      <c r="C99" s="19">
        <f>3500</f>
        <v>3500</v>
      </c>
      <c r="D99" s="35">
        <f t="shared" si="1"/>
        <v>0</v>
      </c>
    </row>
    <row r="100" spans="1:4" ht="15.75" customHeight="1" x14ac:dyDescent="0.3">
      <c r="A100" s="17" t="s">
        <v>92</v>
      </c>
      <c r="B100" s="18"/>
      <c r="C100" s="19">
        <f>4000</f>
        <v>4000</v>
      </c>
      <c r="D100" s="35">
        <f t="shared" si="1"/>
        <v>0</v>
      </c>
    </row>
    <row r="101" spans="1:4" ht="15.75" customHeight="1" x14ac:dyDescent="0.3">
      <c r="A101" s="17" t="s">
        <v>93</v>
      </c>
      <c r="B101" s="19">
        <f>513.93</f>
        <v>513.92999999999995</v>
      </c>
      <c r="C101" s="19">
        <f>10000</f>
        <v>10000</v>
      </c>
      <c r="D101" s="35">
        <f t="shared" si="1"/>
        <v>5.1392999999999994E-2</v>
      </c>
    </row>
    <row r="102" spans="1:4" ht="15.75" customHeight="1" x14ac:dyDescent="0.3">
      <c r="A102" s="17" t="s">
        <v>94</v>
      </c>
      <c r="B102" s="19">
        <f>2599.75</f>
        <v>2599.75</v>
      </c>
      <c r="C102" s="19">
        <f>10000</f>
        <v>10000</v>
      </c>
      <c r="D102" s="35">
        <f t="shared" si="1"/>
        <v>0.25997500000000001</v>
      </c>
    </row>
    <row r="103" spans="1:4" ht="15.75" customHeight="1" x14ac:dyDescent="0.3">
      <c r="A103" s="17" t="s">
        <v>95</v>
      </c>
      <c r="B103" s="19">
        <f>604.84</f>
        <v>604.84</v>
      </c>
      <c r="C103" s="19">
        <f>5000</f>
        <v>5000</v>
      </c>
      <c r="D103" s="35">
        <f t="shared" si="1"/>
        <v>0.12096800000000001</v>
      </c>
    </row>
    <row r="104" spans="1:4" ht="15.75" customHeight="1" x14ac:dyDescent="0.3">
      <c r="A104" s="17" t="s">
        <v>96</v>
      </c>
      <c r="B104" s="19">
        <f>119.36</f>
        <v>119.36</v>
      </c>
      <c r="C104" s="19">
        <f>600</f>
        <v>600</v>
      </c>
      <c r="D104" s="35">
        <f t="shared" ref="D104:D167" si="2">IF(C104=0,"",(B104)/(C104))</f>
        <v>0.19893333333333332</v>
      </c>
    </row>
    <row r="105" spans="1:4" ht="15.75" customHeight="1" x14ac:dyDescent="0.3">
      <c r="A105" s="17" t="s">
        <v>97</v>
      </c>
      <c r="B105" s="18"/>
      <c r="C105" s="19">
        <f>500</f>
        <v>500</v>
      </c>
      <c r="D105" s="35">
        <f t="shared" si="2"/>
        <v>0</v>
      </c>
    </row>
    <row r="106" spans="1:4" ht="15.75" customHeight="1" x14ac:dyDescent="0.3">
      <c r="A106" s="17" t="s">
        <v>98</v>
      </c>
      <c r="B106" s="19">
        <f>78.8</f>
        <v>78.8</v>
      </c>
      <c r="C106" s="19">
        <f>3000</f>
        <v>3000</v>
      </c>
      <c r="D106" s="35">
        <f t="shared" si="2"/>
        <v>2.6266666666666667E-2</v>
      </c>
    </row>
    <row r="107" spans="1:4" ht="15.75" customHeight="1" x14ac:dyDescent="0.3">
      <c r="A107" s="17" t="s">
        <v>99</v>
      </c>
      <c r="B107" s="18"/>
      <c r="C107" s="19">
        <f>10000</f>
        <v>10000</v>
      </c>
      <c r="D107" s="35">
        <f t="shared" si="2"/>
        <v>0</v>
      </c>
    </row>
    <row r="108" spans="1:4" ht="15.75" customHeight="1" x14ac:dyDescent="0.3">
      <c r="A108" s="17" t="s">
        <v>100</v>
      </c>
      <c r="B108" s="18"/>
      <c r="C108" s="19">
        <f>25000</f>
        <v>25000</v>
      </c>
      <c r="D108" s="35">
        <f t="shared" si="2"/>
        <v>0</v>
      </c>
    </row>
    <row r="109" spans="1:4" ht="15.75" customHeight="1" x14ac:dyDescent="0.3">
      <c r="A109" s="17" t="s">
        <v>101</v>
      </c>
      <c r="B109" s="18"/>
      <c r="C109" s="19">
        <f>11000</f>
        <v>11000</v>
      </c>
      <c r="D109" s="35">
        <f t="shared" si="2"/>
        <v>0</v>
      </c>
    </row>
    <row r="110" spans="1:4" ht="15.75" customHeight="1" x14ac:dyDescent="0.3">
      <c r="A110" s="17" t="s">
        <v>102</v>
      </c>
      <c r="B110" s="20">
        <f>(((((((((((((B96)+(B97))+(B98))+(B99))+(B100))+(B101))+(B102))+(B103))+(B104))+(B105))+(B106))+(B107))+(B108))+(B109)</f>
        <v>4636.6799999999994</v>
      </c>
      <c r="C110" s="20">
        <f>(((((((((((((C96)+(C97))+(C98))+(C99))+(C100))+(C101))+(C102))+(C103))+(C104))+(C105))+(C106))+(C107))+(C108))+(C109)</f>
        <v>108400</v>
      </c>
      <c r="D110" s="22">
        <f t="shared" si="2"/>
        <v>4.2773800738007371E-2</v>
      </c>
    </row>
    <row r="111" spans="1:4" ht="15.75" customHeight="1" x14ac:dyDescent="0.3">
      <c r="A111" s="17" t="s">
        <v>103</v>
      </c>
      <c r="B111" s="18"/>
      <c r="C111" s="18"/>
      <c r="D111" s="35" t="str">
        <f t="shared" si="2"/>
        <v/>
      </c>
    </row>
    <row r="112" spans="1:4" ht="15.75" customHeight="1" x14ac:dyDescent="0.3">
      <c r="A112" s="17" t="s">
        <v>104</v>
      </c>
      <c r="B112" s="19">
        <f>441.9</f>
        <v>441.9</v>
      </c>
      <c r="C112" s="19">
        <f>8000</f>
        <v>8000</v>
      </c>
      <c r="D112" s="35">
        <f t="shared" si="2"/>
        <v>5.5237499999999995E-2</v>
      </c>
    </row>
    <row r="113" spans="1:4" ht="15.75" customHeight="1" x14ac:dyDescent="0.3">
      <c r="A113" s="17" t="s">
        <v>105</v>
      </c>
      <c r="B113" s="19">
        <f>5159.5</f>
        <v>5159.5</v>
      </c>
      <c r="C113" s="19">
        <f>53600</f>
        <v>53600</v>
      </c>
      <c r="D113" s="35">
        <f t="shared" si="2"/>
        <v>9.6259328358208954E-2</v>
      </c>
    </row>
    <row r="114" spans="1:4" ht="15.75" customHeight="1" x14ac:dyDescent="0.3">
      <c r="A114" s="17" t="s">
        <v>106</v>
      </c>
      <c r="B114" s="19">
        <f>431.6</f>
        <v>431.6</v>
      </c>
      <c r="C114" s="19">
        <f>4000</f>
        <v>4000</v>
      </c>
      <c r="D114" s="35">
        <f t="shared" si="2"/>
        <v>0.10790000000000001</v>
      </c>
    </row>
    <row r="115" spans="1:4" ht="15.75" customHeight="1" x14ac:dyDescent="0.3">
      <c r="A115" s="17" t="s">
        <v>107</v>
      </c>
      <c r="B115" s="18"/>
      <c r="C115" s="19">
        <f>500</f>
        <v>500</v>
      </c>
      <c r="D115" s="35">
        <f t="shared" si="2"/>
        <v>0</v>
      </c>
    </row>
    <row r="116" spans="1:4" ht="15.75" customHeight="1" x14ac:dyDescent="0.3">
      <c r="A116" s="17" t="s">
        <v>108</v>
      </c>
      <c r="B116" s="19">
        <f>731.59</f>
        <v>731.59</v>
      </c>
      <c r="C116" s="19">
        <f>5500</f>
        <v>5500</v>
      </c>
      <c r="D116" s="35">
        <f t="shared" si="2"/>
        <v>0.13301636363636365</v>
      </c>
    </row>
    <row r="117" spans="1:4" ht="15.75" customHeight="1" x14ac:dyDescent="0.3">
      <c r="A117" s="17" t="s">
        <v>109</v>
      </c>
      <c r="B117" s="19">
        <f>175.99</f>
        <v>175.99</v>
      </c>
      <c r="C117" s="19">
        <f>1900</f>
        <v>1900</v>
      </c>
      <c r="D117" s="35">
        <f t="shared" si="2"/>
        <v>9.2626315789473695E-2</v>
      </c>
    </row>
    <row r="118" spans="1:4" ht="15.75" customHeight="1" x14ac:dyDescent="0.3">
      <c r="A118" s="17" t="s">
        <v>110</v>
      </c>
      <c r="B118" s="19">
        <f>537.4</f>
        <v>537.4</v>
      </c>
      <c r="C118" s="19">
        <f>4300</f>
        <v>4300</v>
      </c>
      <c r="D118" s="35">
        <f t="shared" si="2"/>
        <v>0.12497674418604651</v>
      </c>
    </row>
    <row r="119" spans="1:4" ht="15.75" customHeight="1" x14ac:dyDescent="0.3">
      <c r="A119" s="17" t="s">
        <v>111</v>
      </c>
      <c r="B119" s="18"/>
      <c r="C119" s="19">
        <f>2000</f>
        <v>2000</v>
      </c>
      <c r="D119" s="35">
        <f t="shared" si="2"/>
        <v>0</v>
      </c>
    </row>
    <row r="120" spans="1:4" ht="15.75" customHeight="1" x14ac:dyDescent="0.3">
      <c r="A120" s="17" t="s">
        <v>112</v>
      </c>
      <c r="B120" s="18"/>
      <c r="C120" s="19">
        <f>1000</f>
        <v>1000</v>
      </c>
      <c r="D120" s="35">
        <f t="shared" si="2"/>
        <v>0</v>
      </c>
    </row>
    <row r="121" spans="1:4" ht="15.75" customHeight="1" x14ac:dyDescent="0.3">
      <c r="A121" s="17" t="s">
        <v>113</v>
      </c>
      <c r="B121" s="18"/>
      <c r="C121" s="19">
        <f>3000</f>
        <v>3000</v>
      </c>
      <c r="D121" s="35">
        <f t="shared" si="2"/>
        <v>0</v>
      </c>
    </row>
    <row r="122" spans="1:4" ht="15.75" customHeight="1" x14ac:dyDescent="0.3">
      <c r="A122" s="17" t="s">
        <v>114</v>
      </c>
      <c r="B122" s="20">
        <f>((((((((((B111)+(B112))+(B113))+(B114))+(B115))+(B116))+(B117))+(B118))+(B119))+(B120))+(B121)</f>
        <v>7477.98</v>
      </c>
      <c r="C122" s="20">
        <f>((((((((((C111)+(C112))+(C113))+(C114))+(C115))+(C116))+(C117))+(C118))+(C119))+(C120))+(C121)</f>
        <v>83800</v>
      </c>
      <c r="D122" s="22">
        <f t="shared" si="2"/>
        <v>8.923603818615751E-2</v>
      </c>
    </row>
    <row r="123" spans="1:4" ht="15.75" customHeight="1" x14ac:dyDescent="0.3">
      <c r="A123" s="17" t="s">
        <v>115</v>
      </c>
      <c r="B123" s="20">
        <f>((B95)+(B110))+(B122)</f>
        <v>12114.66</v>
      </c>
      <c r="C123" s="20">
        <f>((C95)+(C110))+(C122)</f>
        <v>192200</v>
      </c>
      <c r="D123" s="22">
        <f t="shared" si="2"/>
        <v>6.3031529656607702E-2</v>
      </c>
    </row>
    <row r="124" spans="1:4" ht="15.75" customHeight="1" x14ac:dyDescent="0.3">
      <c r="A124" s="17" t="s">
        <v>116</v>
      </c>
      <c r="B124" s="18"/>
      <c r="C124" s="18"/>
      <c r="D124" s="35" t="str">
        <f t="shared" si="2"/>
        <v/>
      </c>
    </row>
    <row r="125" spans="1:4" ht="15.75" customHeight="1" x14ac:dyDescent="0.3">
      <c r="A125" s="17" t="s">
        <v>117</v>
      </c>
      <c r="B125" s="18"/>
      <c r="C125" s="18"/>
      <c r="D125" s="35" t="str">
        <f t="shared" si="2"/>
        <v/>
      </c>
    </row>
    <row r="126" spans="1:4" ht="15.75" customHeight="1" x14ac:dyDescent="0.3">
      <c r="A126" s="17" t="s">
        <v>118</v>
      </c>
      <c r="B126" s="19">
        <f>4470.4</f>
        <v>4470.3999999999996</v>
      </c>
      <c r="C126" s="19">
        <f>63033</f>
        <v>63033</v>
      </c>
      <c r="D126" s="35">
        <f t="shared" si="2"/>
        <v>7.0921580759284814E-2</v>
      </c>
    </row>
    <row r="127" spans="1:4" ht="15.75" customHeight="1" x14ac:dyDescent="0.3">
      <c r="A127" s="17" t="s">
        <v>119</v>
      </c>
      <c r="B127" s="19">
        <f>12576</f>
        <v>12576</v>
      </c>
      <c r="C127" s="19">
        <f>152770</f>
        <v>152770</v>
      </c>
      <c r="D127" s="35">
        <f t="shared" si="2"/>
        <v>8.2319827191202455E-2</v>
      </c>
    </row>
    <row r="128" spans="1:4" ht="15.75" customHeight="1" x14ac:dyDescent="0.3">
      <c r="A128" s="17" t="s">
        <v>120</v>
      </c>
      <c r="B128" s="18"/>
      <c r="C128" s="19">
        <f>7500</f>
        <v>7500</v>
      </c>
      <c r="D128" s="35">
        <f t="shared" si="2"/>
        <v>0</v>
      </c>
    </row>
    <row r="129" spans="1:4" ht="15.75" customHeight="1" x14ac:dyDescent="0.3">
      <c r="A129" s="17" t="s">
        <v>121</v>
      </c>
      <c r="B129" s="19">
        <f>2743.2</f>
        <v>2743.2</v>
      </c>
      <c r="C129" s="19">
        <f>46292</f>
        <v>46292</v>
      </c>
      <c r="D129" s="35">
        <f t="shared" si="2"/>
        <v>5.9258619199861744E-2</v>
      </c>
    </row>
    <row r="130" spans="1:4" ht="15.75" customHeight="1" x14ac:dyDescent="0.3">
      <c r="A130" s="17" t="s">
        <v>122</v>
      </c>
      <c r="B130" s="19">
        <f>8333.61</f>
        <v>8333.61</v>
      </c>
      <c r="C130" s="19">
        <f>88215</f>
        <v>88215</v>
      </c>
      <c r="D130" s="35">
        <f t="shared" si="2"/>
        <v>9.4469307940826391E-2</v>
      </c>
    </row>
    <row r="131" spans="1:4" ht="15.75" customHeight="1" x14ac:dyDescent="0.3">
      <c r="A131" s="17" t="s">
        <v>123</v>
      </c>
      <c r="B131" s="19">
        <f>821.45</f>
        <v>821.45</v>
      </c>
      <c r="C131" s="19">
        <f>6500</f>
        <v>6500</v>
      </c>
      <c r="D131" s="35">
        <f t="shared" si="2"/>
        <v>0.12637692307692308</v>
      </c>
    </row>
    <row r="132" spans="1:4" ht="15.75" customHeight="1" x14ac:dyDescent="0.3">
      <c r="A132" s="17" t="s">
        <v>124</v>
      </c>
      <c r="B132" s="19">
        <f>1459.41</f>
        <v>1459.41</v>
      </c>
      <c r="C132" s="19">
        <f>15000</f>
        <v>15000</v>
      </c>
      <c r="D132" s="35">
        <f t="shared" si="2"/>
        <v>9.7294000000000005E-2</v>
      </c>
    </row>
    <row r="133" spans="1:4" ht="15.75" customHeight="1" x14ac:dyDescent="0.3">
      <c r="A133" s="17" t="s">
        <v>232</v>
      </c>
      <c r="B133" s="19">
        <f>3935.33</f>
        <v>3935.33</v>
      </c>
      <c r="C133" s="19">
        <f>25000</f>
        <v>25000</v>
      </c>
      <c r="D133" s="35">
        <f t="shared" si="2"/>
        <v>0.1574132</v>
      </c>
    </row>
    <row r="134" spans="1:4" ht="15.75" customHeight="1" x14ac:dyDescent="0.3">
      <c r="A134" s="17" t="s">
        <v>233</v>
      </c>
      <c r="B134" s="19">
        <f>195.42</f>
        <v>195.42</v>
      </c>
      <c r="C134" s="19">
        <f>2700</f>
        <v>2700</v>
      </c>
      <c r="D134" s="35">
        <f t="shared" si="2"/>
        <v>7.2377777777777777E-2</v>
      </c>
    </row>
    <row r="135" spans="1:4" ht="15.75" customHeight="1" x14ac:dyDescent="0.3">
      <c r="A135" s="17" t="s">
        <v>125</v>
      </c>
      <c r="B135" s="19">
        <f>107.94</f>
        <v>107.94</v>
      </c>
      <c r="C135" s="19">
        <f>3000</f>
        <v>3000</v>
      </c>
      <c r="D135" s="35">
        <f t="shared" si="2"/>
        <v>3.5979999999999998E-2</v>
      </c>
    </row>
    <row r="136" spans="1:4" ht="15.75" customHeight="1" x14ac:dyDescent="0.3">
      <c r="A136" s="17" t="s">
        <v>126</v>
      </c>
      <c r="B136" s="19">
        <f>5596.82</f>
        <v>5596.82</v>
      </c>
      <c r="C136" s="19">
        <f>55000</f>
        <v>55000</v>
      </c>
      <c r="D136" s="35">
        <f t="shared" si="2"/>
        <v>0.10176036363636363</v>
      </c>
    </row>
    <row r="137" spans="1:4" ht="15.75" customHeight="1" x14ac:dyDescent="0.3">
      <c r="A137" s="17" t="s">
        <v>127</v>
      </c>
      <c r="B137" s="20">
        <f>(((((((((((B125)+(B126))+(B127))+(B128))+(B129))+(B130))+(B131))+(B132))+(B133))+(B134))+(B135))+(B136)</f>
        <v>40239.58</v>
      </c>
      <c r="C137" s="20">
        <f>(((((((((((C125)+(C126))+(C127))+(C128))+(C129))+(C130))+(C131))+(C132))+(C133))+(C134))+(C135))+(C136)</f>
        <v>465010</v>
      </c>
      <c r="D137" s="22">
        <f t="shared" si="2"/>
        <v>8.6534870217844784E-2</v>
      </c>
    </row>
    <row r="138" spans="1:4" ht="15.75" customHeight="1" x14ac:dyDescent="0.3">
      <c r="A138" s="17" t="s">
        <v>128</v>
      </c>
      <c r="B138" s="18"/>
      <c r="C138" s="18"/>
      <c r="D138" s="35" t="str">
        <f t="shared" si="2"/>
        <v/>
      </c>
    </row>
    <row r="139" spans="1:4" ht="15.75" customHeight="1" x14ac:dyDescent="0.3">
      <c r="A139" s="17" t="s">
        <v>129</v>
      </c>
      <c r="B139" s="18"/>
      <c r="C139" s="19">
        <f>4000</f>
        <v>4000</v>
      </c>
      <c r="D139" s="35">
        <f t="shared" si="2"/>
        <v>0</v>
      </c>
    </row>
    <row r="140" spans="1:4" ht="15.75" customHeight="1" x14ac:dyDescent="0.3">
      <c r="A140" s="17" t="s">
        <v>130</v>
      </c>
      <c r="B140" s="18"/>
      <c r="C140" s="19">
        <f>3000</f>
        <v>3000</v>
      </c>
      <c r="D140" s="35">
        <f t="shared" si="2"/>
        <v>0</v>
      </c>
    </row>
    <row r="141" spans="1:4" ht="15.75" customHeight="1" x14ac:dyDescent="0.3">
      <c r="A141" s="17" t="s">
        <v>131</v>
      </c>
      <c r="B141" s="18"/>
      <c r="C141" s="19">
        <f>80000</f>
        <v>80000</v>
      </c>
      <c r="D141" s="35">
        <f t="shared" si="2"/>
        <v>0</v>
      </c>
    </row>
    <row r="142" spans="1:4" ht="15.75" customHeight="1" x14ac:dyDescent="0.3">
      <c r="A142" s="17" t="s">
        <v>132</v>
      </c>
      <c r="B142" s="19">
        <f>172.47</f>
        <v>172.47</v>
      </c>
      <c r="C142" s="19">
        <f>13000</f>
        <v>13000</v>
      </c>
      <c r="D142" s="35">
        <f t="shared" si="2"/>
        <v>1.3266923076923077E-2</v>
      </c>
    </row>
    <row r="143" spans="1:4" ht="15.75" customHeight="1" x14ac:dyDescent="0.3">
      <c r="A143" s="17" t="s">
        <v>133</v>
      </c>
      <c r="B143" s="18"/>
      <c r="C143" s="19">
        <f>6000</f>
        <v>6000</v>
      </c>
      <c r="D143" s="35">
        <f t="shared" si="2"/>
        <v>0</v>
      </c>
    </row>
    <row r="144" spans="1:4" ht="15.75" customHeight="1" x14ac:dyDescent="0.3">
      <c r="A144" s="17" t="s">
        <v>134</v>
      </c>
      <c r="B144" s="18"/>
      <c r="C144" s="19">
        <f>6000</f>
        <v>6000</v>
      </c>
      <c r="D144" s="35">
        <f t="shared" si="2"/>
        <v>0</v>
      </c>
    </row>
    <row r="145" spans="1:4" ht="15.75" customHeight="1" x14ac:dyDescent="0.3">
      <c r="A145" s="17" t="s">
        <v>317</v>
      </c>
      <c r="B145" s="18"/>
      <c r="C145" s="19">
        <f>450000</f>
        <v>450000</v>
      </c>
      <c r="D145" s="35">
        <f t="shared" si="2"/>
        <v>0</v>
      </c>
    </row>
    <row r="146" spans="1:4" ht="15.75" customHeight="1" x14ac:dyDescent="0.3">
      <c r="A146" s="17" t="s">
        <v>135</v>
      </c>
      <c r="B146" s="18"/>
      <c r="C146" s="19">
        <f>15000</f>
        <v>15000</v>
      </c>
      <c r="D146" s="35">
        <f t="shared" si="2"/>
        <v>0</v>
      </c>
    </row>
    <row r="147" spans="1:4" ht="15.75" customHeight="1" x14ac:dyDescent="0.3">
      <c r="A147" s="17" t="s">
        <v>136</v>
      </c>
      <c r="B147" s="20">
        <f>((((((((B138)+(B139))+(B140))+(B141))+(B142))+(B143))+(B144))+(B145))+(B146)</f>
        <v>172.47</v>
      </c>
      <c r="C147" s="20">
        <f>((((((((C138)+(C139))+(C140))+(C141))+(C142))+(C143))+(C144))+(C145))+(C146)</f>
        <v>577000</v>
      </c>
      <c r="D147" s="22">
        <f t="shared" si="2"/>
        <v>2.9890814558058927E-4</v>
      </c>
    </row>
    <row r="148" spans="1:4" ht="15.75" customHeight="1" x14ac:dyDescent="0.3">
      <c r="A148" s="17" t="s">
        <v>237</v>
      </c>
      <c r="B148" s="19">
        <f>466.31</f>
        <v>466.31</v>
      </c>
      <c r="C148" s="19">
        <f>6000</f>
        <v>6000</v>
      </c>
      <c r="D148" s="35">
        <f t="shared" si="2"/>
        <v>7.7718333333333334E-2</v>
      </c>
    </row>
    <row r="149" spans="1:4" ht="15.75" customHeight="1" x14ac:dyDescent="0.3">
      <c r="A149" s="17" t="s">
        <v>137</v>
      </c>
      <c r="B149" s="18"/>
      <c r="C149" s="18"/>
      <c r="D149" s="35" t="str">
        <f t="shared" si="2"/>
        <v/>
      </c>
    </row>
    <row r="150" spans="1:4" ht="15.75" customHeight="1" x14ac:dyDescent="0.3">
      <c r="A150" s="17" t="s">
        <v>138</v>
      </c>
      <c r="B150" s="19">
        <f>99.86</f>
        <v>99.86</v>
      </c>
      <c r="C150" s="19">
        <f>1200</f>
        <v>1200</v>
      </c>
      <c r="D150" s="35">
        <f t="shared" si="2"/>
        <v>8.3216666666666661E-2</v>
      </c>
    </row>
    <row r="151" spans="1:4" ht="15.75" customHeight="1" x14ac:dyDescent="0.3">
      <c r="A151" s="17" t="s">
        <v>139</v>
      </c>
      <c r="B151" s="20">
        <f>(B149)+(B150)</f>
        <v>99.86</v>
      </c>
      <c r="C151" s="20">
        <f>(C149)+(C150)</f>
        <v>1200</v>
      </c>
      <c r="D151" s="22">
        <f t="shared" si="2"/>
        <v>8.3216666666666661E-2</v>
      </c>
    </row>
    <row r="152" spans="1:4" ht="15.75" customHeight="1" x14ac:dyDescent="0.3">
      <c r="A152" s="17" t="s">
        <v>140</v>
      </c>
      <c r="B152" s="20">
        <f>((((B124)+(B137))+(B147))+(B148))+(B151)</f>
        <v>40978.22</v>
      </c>
      <c r="C152" s="20">
        <f>((((C124)+(C137))+(C147))+(C148))+(C151)</f>
        <v>1049210</v>
      </c>
      <c r="D152" s="22">
        <f t="shared" si="2"/>
        <v>3.9056261377607919E-2</v>
      </c>
    </row>
    <row r="153" spans="1:4" ht="15.75" customHeight="1" x14ac:dyDescent="0.3">
      <c r="A153" s="17" t="s">
        <v>141</v>
      </c>
      <c r="B153" s="18"/>
      <c r="C153" s="18"/>
      <c r="D153" s="35" t="str">
        <f t="shared" si="2"/>
        <v/>
      </c>
    </row>
    <row r="154" spans="1:4" ht="15.75" customHeight="1" x14ac:dyDescent="0.3">
      <c r="A154" s="17" t="s">
        <v>142</v>
      </c>
      <c r="B154" s="18"/>
      <c r="C154" s="19">
        <f>300</f>
        <v>300</v>
      </c>
      <c r="D154" s="35">
        <f t="shared" si="2"/>
        <v>0</v>
      </c>
    </row>
    <row r="155" spans="1:4" ht="15.75" customHeight="1" x14ac:dyDescent="0.3">
      <c r="A155" s="17" t="s">
        <v>143</v>
      </c>
      <c r="B155" s="18"/>
      <c r="C155" s="19">
        <f>4000</f>
        <v>4000</v>
      </c>
      <c r="D155" s="35">
        <f t="shared" si="2"/>
        <v>0</v>
      </c>
    </row>
    <row r="156" spans="1:4" ht="15.75" customHeight="1" x14ac:dyDescent="0.3">
      <c r="A156" s="17" t="s">
        <v>144</v>
      </c>
      <c r="B156" s="20">
        <f>((B153)+(B154))+(B155)</f>
        <v>0</v>
      </c>
      <c r="C156" s="20">
        <f>((C153)+(C154))+(C155)</f>
        <v>4300</v>
      </c>
      <c r="D156" s="22">
        <f t="shared" si="2"/>
        <v>0</v>
      </c>
    </row>
    <row r="157" spans="1:4" ht="15.75" customHeight="1" x14ac:dyDescent="0.3">
      <c r="A157" s="17" t="s">
        <v>145</v>
      </c>
      <c r="B157" s="18"/>
      <c r="C157" s="18"/>
      <c r="D157" s="35" t="str">
        <f t="shared" si="2"/>
        <v/>
      </c>
    </row>
    <row r="158" spans="1:4" ht="15.75" customHeight="1" x14ac:dyDescent="0.3">
      <c r="A158" s="17" t="s">
        <v>146</v>
      </c>
      <c r="B158" s="18"/>
      <c r="C158" s="19">
        <f>22629</f>
        <v>22629</v>
      </c>
      <c r="D158" s="35">
        <f t="shared" si="2"/>
        <v>0</v>
      </c>
    </row>
    <row r="159" spans="1:4" ht="15.75" customHeight="1" x14ac:dyDescent="0.3">
      <c r="A159" s="17" t="s">
        <v>147</v>
      </c>
      <c r="B159" s="19">
        <f>223.27</f>
        <v>223.27</v>
      </c>
      <c r="C159" s="19">
        <f>12000</f>
        <v>12000</v>
      </c>
      <c r="D159" s="35">
        <f t="shared" si="2"/>
        <v>1.8605833333333335E-2</v>
      </c>
    </row>
    <row r="160" spans="1:4" ht="15.75" customHeight="1" x14ac:dyDescent="0.3">
      <c r="A160" s="17" t="s">
        <v>148</v>
      </c>
      <c r="B160" s="19">
        <f>906.82</f>
        <v>906.82</v>
      </c>
      <c r="C160" s="19">
        <f>20000</f>
        <v>20000</v>
      </c>
      <c r="D160" s="35">
        <f t="shared" si="2"/>
        <v>4.5340999999999999E-2</v>
      </c>
    </row>
    <row r="161" spans="1:4" ht="15.75" customHeight="1" x14ac:dyDescent="0.3">
      <c r="A161" s="17" t="s">
        <v>149</v>
      </c>
      <c r="B161" s="20">
        <f>(((B157)+(B158))+(B159))+(B160)</f>
        <v>1130.0900000000001</v>
      </c>
      <c r="C161" s="20">
        <f>(((C157)+(C158))+(C159))+(C160)</f>
        <v>54629</v>
      </c>
      <c r="D161" s="22">
        <f t="shared" si="2"/>
        <v>2.068663164253419E-2</v>
      </c>
    </row>
    <row r="162" spans="1:4" ht="15.75" customHeight="1" x14ac:dyDescent="0.3">
      <c r="A162" s="17" t="s">
        <v>150</v>
      </c>
      <c r="B162" s="18"/>
      <c r="C162" s="18"/>
      <c r="D162" s="35" t="str">
        <f t="shared" si="2"/>
        <v/>
      </c>
    </row>
    <row r="163" spans="1:4" ht="15.75" customHeight="1" x14ac:dyDescent="0.3">
      <c r="A163" s="17" t="s">
        <v>151</v>
      </c>
      <c r="B163" s="19">
        <f>24480</f>
        <v>24480</v>
      </c>
      <c r="C163" s="19">
        <f>24480</f>
        <v>24480</v>
      </c>
      <c r="D163" s="35">
        <f t="shared" si="2"/>
        <v>1</v>
      </c>
    </row>
    <row r="164" spans="1:4" ht="15.75" customHeight="1" x14ac:dyDescent="0.3">
      <c r="A164" s="17" t="s">
        <v>152</v>
      </c>
      <c r="B164" s="19">
        <f>49.41</f>
        <v>49.41</v>
      </c>
      <c r="C164" s="19">
        <f>500</f>
        <v>500</v>
      </c>
      <c r="D164" s="35">
        <f t="shared" si="2"/>
        <v>9.8819999999999991E-2</v>
      </c>
    </row>
    <row r="165" spans="1:4" ht="15.75" customHeight="1" x14ac:dyDescent="0.3">
      <c r="A165" s="17" t="s">
        <v>153</v>
      </c>
      <c r="B165" s="20">
        <f>((B162)+(B163))+(B164)</f>
        <v>24529.41</v>
      </c>
      <c r="C165" s="20">
        <f>((C162)+(C163))+(C164)</f>
        <v>24980</v>
      </c>
      <c r="D165" s="22">
        <f t="shared" si="2"/>
        <v>0.98196196957566051</v>
      </c>
    </row>
    <row r="166" spans="1:4" ht="15.75" customHeight="1" x14ac:dyDescent="0.3">
      <c r="A166" s="17" t="s">
        <v>154</v>
      </c>
      <c r="B166" s="18"/>
      <c r="C166" s="18"/>
      <c r="D166" s="35" t="str">
        <f t="shared" si="2"/>
        <v/>
      </c>
    </row>
    <row r="167" spans="1:4" ht="15.75" customHeight="1" x14ac:dyDescent="0.3">
      <c r="A167" s="17" t="s">
        <v>155</v>
      </c>
      <c r="B167" s="18"/>
      <c r="C167" s="19">
        <f>2000</f>
        <v>2000</v>
      </c>
      <c r="D167" s="35">
        <f t="shared" si="2"/>
        <v>0</v>
      </c>
    </row>
    <row r="168" spans="1:4" ht="15.75" customHeight="1" x14ac:dyDescent="0.3">
      <c r="A168" s="17" t="s">
        <v>156</v>
      </c>
      <c r="B168" s="18"/>
      <c r="C168" s="19">
        <f>275000</f>
        <v>275000</v>
      </c>
      <c r="D168" s="35">
        <f t="shared" ref="D168:D196" si="3">IF(C168=0,"",(B168)/(C168))</f>
        <v>0</v>
      </c>
    </row>
    <row r="169" spans="1:4" ht="15.75" customHeight="1" x14ac:dyDescent="0.3">
      <c r="A169" s="17" t="s">
        <v>157</v>
      </c>
      <c r="B169" s="20">
        <f>((B166)+(B167))+(B168)</f>
        <v>0</v>
      </c>
      <c r="C169" s="20">
        <f>((C166)+(C167))+(C168)</f>
        <v>277000</v>
      </c>
      <c r="D169" s="22">
        <f t="shared" si="3"/>
        <v>0</v>
      </c>
    </row>
    <row r="170" spans="1:4" ht="15.75" customHeight="1" x14ac:dyDescent="0.3">
      <c r="A170" s="17" t="s">
        <v>158</v>
      </c>
      <c r="B170" s="18"/>
      <c r="C170" s="18"/>
      <c r="D170" s="35" t="str">
        <f t="shared" si="3"/>
        <v/>
      </c>
    </row>
    <row r="171" spans="1:4" ht="15.75" customHeight="1" x14ac:dyDescent="0.3">
      <c r="A171" s="17" t="s">
        <v>159</v>
      </c>
      <c r="B171" s="18"/>
      <c r="C171" s="18"/>
      <c r="D171" s="35" t="str">
        <f t="shared" si="3"/>
        <v/>
      </c>
    </row>
    <row r="172" spans="1:4" ht="15.75" customHeight="1" x14ac:dyDescent="0.3">
      <c r="A172" s="17" t="s">
        <v>255</v>
      </c>
      <c r="B172" s="18"/>
      <c r="C172" s="19">
        <f>31222</f>
        <v>31222</v>
      </c>
      <c r="D172" s="35">
        <f t="shared" si="3"/>
        <v>0</v>
      </c>
    </row>
    <row r="173" spans="1:4" ht="15.75" customHeight="1" x14ac:dyDescent="0.3">
      <c r="A173" s="17" t="s">
        <v>263</v>
      </c>
      <c r="B173" s="18"/>
      <c r="C173" s="19">
        <f>47335</f>
        <v>47335</v>
      </c>
      <c r="D173" s="35">
        <f t="shared" si="3"/>
        <v>0</v>
      </c>
    </row>
    <row r="174" spans="1:4" ht="15.75" customHeight="1" x14ac:dyDescent="0.3">
      <c r="A174" s="17" t="s">
        <v>264</v>
      </c>
      <c r="B174" s="18"/>
      <c r="C174" s="19">
        <f>14025</f>
        <v>14025</v>
      </c>
      <c r="D174" s="35">
        <f t="shared" si="3"/>
        <v>0</v>
      </c>
    </row>
    <row r="175" spans="1:4" ht="15.75" customHeight="1" x14ac:dyDescent="0.3">
      <c r="A175" s="17" t="s">
        <v>256</v>
      </c>
      <c r="B175" s="18"/>
      <c r="C175" s="19">
        <f>24978</f>
        <v>24978</v>
      </c>
      <c r="D175" s="35">
        <f t="shared" si="3"/>
        <v>0</v>
      </c>
    </row>
    <row r="176" spans="1:4" ht="15.75" customHeight="1" x14ac:dyDescent="0.3">
      <c r="A176" s="17" t="s">
        <v>257</v>
      </c>
      <c r="B176" s="18"/>
      <c r="C176" s="19">
        <f>39965</f>
        <v>39965</v>
      </c>
      <c r="D176" s="35">
        <f t="shared" si="3"/>
        <v>0</v>
      </c>
    </row>
    <row r="177" spans="1:4" ht="15.75" customHeight="1" x14ac:dyDescent="0.3">
      <c r="A177" s="17" t="s">
        <v>265</v>
      </c>
      <c r="B177" s="18"/>
      <c r="C177" s="19">
        <f>6345</f>
        <v>6345</v>
      </c>
      <c r="D177" s="35">
        <f t="shared" si="3"/>
        <v>0</v>
      </c>
    </row>
    <row r="178" spans="1:4" ht="15.75" customHeight="1" x14ac:dyDescent="0.3">
      <c r="A178" s="17" t="s">
        <v>318</v>
      </c>
      <c r="B178" s="18"/>
      <c r="C178" s="19">
        <f>24873</f>
        <v>24873</v>
      </c>
      <c r="D178" s="35">
        <f t="shared" si="3"/>
        <v>0</v>
      </c>
    </row>
    <row r="179" spans="1:4" ht="15.75" customHeight="1" x14ac:dyDescent="0.3">
      <c r="A179" s="17" t="s">
        <v>292</v>
      </c>
      <c r="B179" s="18"/>
      <c r="C179" s="19">
        <f>35436</f>
        <v>35436</v>
      </c>
      <c r="D179" s="35">
        <f t="shared" si="3"/>
        <v>0</v>
      </c>
    </row>
    <row r="180" spans="1:4" ht="15.75" customHeight="1" x14ac:dyDescent="0.3">
      <c r="A180" s="17" t="s">
        <v>249</v>
      </c>
      <c r="B180" s="18"/>
      <c r="C180" s="19">
        <f>48697</f>
        <v>48697</v>
      </c>
      <c r="D180" s="35">
        <f t="shared" si="3"/>
        <v>0</v>
      </c>
    </row>
    <row r="181" spans="1:4" ht="15.75" customHeight="1" x14ac:dyDescent="0.3">
      <c r="A181" s="17" t="s">
        <v>160</v>
      </c>
      <c r="B181" s="20">
        <f>(((((((((B171)+(B172))+(B173))+(B174))+(B175))+(B176))+(B177))+(B178))+(B179))+(B180)</f>
        <v>0</v>
      </c>
      <c r="C181" s="20">
        <f>(((((((((C171)+(C172))+(C173))+(C174))+(C175))+(C176))+(C177))+(C178))+(C179))+(C180)</f>
        <v>272876</v>
      </c>
      <c r="D181" s="22">
        <f t="shared" si="3"/>
        <v>0</v>
      </c>
    </row>
    <row r="182" spans="1:4" ht="15.75" customHeight="1" x14ac:dyDescent="0.3">
      <c r="A182" s="17" t="s">
        <v>161</v>
      </c>
      <c r="B182" s="18"/>
      <c r="C182" s="18"/>
      <c r="D182" s="35" t="str">
        <f t="shared" si="3"/>
        <v/>
      </c>
    </row>
    <row r="183" spans="1:4" ht="15.75" customHeight="1" x14ac:dyDescent="0.3">
      <c r="A183" s="17" t="s">
        <v>293</v>
      </c>
      <c r="B183" s="18"/>
      <c r="C183" s="19">
        <f>7255</f>
        <v>7255</v>
      </c>
      <c r="D183" s="35">
        <f t="shared" si="3"/>
        <v>0</v>
      </c>
    </row>
    <row r="184" spans="1:4" ht="15.75" customHeight="1" x14ac:dyDescent="0.3">
      <c r="A184" s="17" t="s">
        <v>258</v>
      </c>
      <c r="B184" s="18"/>
      <c r="C184" s="19">
        <f>2401</f>
        <v>2401</v>
      </c>
      <c r="D184" s="35">
        <f t="shared" si="3"/>
        <v>0</v>
      </c>
    </row>
    <row r="185" spans="1:4" ht="15.75" customHeight="1" x14ac:dyDescent="0.3">
      <c r="A185" s="17" t="s">
        <v>162</v>
      </c>
      <c r="B185" s="18"/>
      <c r="C185" s="19">
        <f>3872</f>
        <v>3872</v>
      </c>
      <c r="D185" s="35">
        <f t="shared" si="3"/>
        <v>0</v>
      </c>
    </row>
    <row r="186" spans="1:4" ht="15.75" customHeight="1" x14ac:dyDescent="0.3">
      <c r="A186" s="17" t="s">
        <v>294</v>
      </c>
      <c r="B186" s="18"/>
      <c r="C186" s="19">
        <f>5055</f>
        <v>5055</v>
      </c>
      <c r="D186" s="35">
        <f t="shared" si="3"/>
        <v>0</v>
      </c>
    </row>
    <row r="187" spans="1:4" ht="15.75" customHeight="1" x14ac:dyDescent="0.3">
      <c r="A187" s="17" t="s">
        <v>163</v>
      </c>
      <c r="B187" s="18"/>
      <c r="C187" s="19">
        <f>1503</f>
        <v>1503</v>
      </c>
      <c r="D187" s="35">
        <f t="shared" si="3"/>
        <v>0</v>
      </c>
    </row>
    <row r="188" spans="1:4" ht="15.75" customHeight="1" x14ac:dyDescent="0.3">
      <c r="A188" s="17" t="s">
        <v>259</v>
      </c>
      <c r="B188" s="18"/>
      <c r="C188" s="19">
        <f>1921</f>
        <v>1921</v>
      </c>
      <c r="D188" s="35">
        <f t="shared" si="3"/>
        <v>0</v>
      </c>
    </row>
    <row r="189" spans="1:4" ht="15.75" customHeight="1" x14ac:dyDescent="0.3">
      <c r="A189" s="17" t="s">
        <v>260</v>
      </c>
      <c r="B189" s="18"/>
      <c r="C189" s="19">
        <f>3073</f>
        <v>3073</v>
      </c>
      <c r="D189" s="35">
        <f t="shared" si="3"/>
        <v>0</v>
      </c>
    </row>
    <row r="190" spans="1:4" ht="15.75" customHeight="1" x14ac:dyDescent="0.3">
      <c r="A190" s="17" t="s">
        <v>164</v>
      </c>
      <c r="B190" s="18"/>
      <c r="C190" s="19">
        <f>680</f>
        <v>680</v>
      </c>
      <c r="D190" s="35">
        <f t="shared" si="3"/>
        <v>0</v>
      </c>
    </row>
    <row r="191" spans="1:4" ht="15.75" customHeight="1" x14ac:dyDescent="0.3">
      <c r="A191" s="17" t="s">
        <v>319</v>
      </c>
      <c r="B191" s="18"/>
      <c r="C191" s="19">
        <f>4058</f>
        <v>4058</v>
      </c>
      <c r="D191" s="35">
        <f t="shared" si="3"/>
        <v>0</v>
      </c>
    </row>
    <row r="192" spans="1:4" ht="15.75" customHeight="1" x14ac:dyDescent="0.3">
      <c r="A192" s="17" t="s">
        <v>165</v>
      </c>
      <c r="B192" s="20">
        <f>(((((((((B182)+(B183))+(B184))+(B185))+(B186))+(B187))+(B188))+(B189))+(B190))+(B191)</f>
        <v>0</v>
      </c>
      <c r="C192" s="20">
        <f>(((((((((C182)+(C183))+(C184))+(C185))+(C186))+(C187))+(C188))+(C189))+(C190))+(C191)</f>
        <v>29818</v>
      </c>
      <c r="D192" s="22">
        <f t="shared" si="3"/>
        <v>0</v>
      </c>
    </row>
    <row r="193" spans="1:4" ht="15.75" customHeight="1" x14ac:dyDescent="0.3">
      <c r="A193" s="17" t="s">
        <v>166</v>
      </c>
      <c r="B193" s="20">
        <f>((B170)+(B181))+(B192)</f>
        <v>0</v>
      </c>
      <c r="C193" s="20">
        <f>((C170)+(C181))+(C192)</f>
        <v>302694</v>
      </c>
      <c r="D193" s="22">
        <f t="shared" si="3"/>
        <v>0</v>
      </c>
    </row>
    <row r="194" spans="1:4" ht="15.75" customHeight="1" x14ac:dyDescent="0.3">
      <c r="A194" s="17" t="s">
        <v>167</v>
      </c>
      <c r="B194" s="20">
        <f>(((((((B94)+(B123))+(B152))+(B156))+(B161))+(B165))+(B169))+(B193)</f>
        <v>96693.2</v>
      </c>
      <c r="C194" s="20">
        <f>(((((((C94)+(C123))+(C152))+(C156))+(C161))+(C165))+(C169))+(C193)</f>
        <v>2163334</v>
      </c>
      <c r="D194" s="22">
        <f t="shared" si="3"/>
        <v>4.4696380679081452E-2</v>
      </c>
    </row>
    <row r="195" spans="1:4" ht="15.75" customHeight="1" x14ac:dyDescent="0.3">
      <c r="A195" s="17" t="s">
        <v>168</v>
      </c>
      <c r="B195" s="20">
        <f>(B38)-(B194)</f>
        <v>-21257.490000000005</v>
      </c>
      <c r="C195" s="20">
        <f>(C38)-(C194)</f>
        <v>-326678</v>
      </c>
      <c r="D195" s="22">
        <f t="shared" si="3"/>
        <v>6.5071691390298725E-2</v>
      </c>
    </row>
    <row r="196" spans="1:4" ht="15.75" customHeight="1" x14ac:dyDescent="0.3">
      <c r="A196" s="17" t="s">
        <v>169</v>
      </c>
      <c r="B196" s="20">
        <f>(B195)+(0)</f>
        <v>-21257.490000000005</v>
      </c>
      <c r="C196" s="20">
        <f>(C195)+(0)</f>
        <v>-326678</v>
      </c>
      <c r="D196" s="22">
        <f t="shared" si="3"/>
        <v>6.5071691390298725E-2</v>
      </c>
    </row>
    <row r="197" spans="1:4" ht="15.75" customHeight="1" x14ac:dyDescent="0.3">
      <c r="A197" s="2"/>
      <c r="B197" s="3"/>
      <c r="C197" s="4"/>
      <c r="D197" s="30"/>
    </row>
    <row r="198" spans="1:4" ht="15.75" customHeight="1" x14ac:dyDescent="0.3">
      <c r="A198" s="2"/>
      <c r="B198" s="29"/>
      <c r="C198" s="29"/>
      <c r="D198" s="31"/>
    </row>
    <row r="199" spans="1:4" ht="15.75" customHeight="1" x14ac:dyDescent="0.3">
      <c r="A199" s="2"/>
      <c r="B199" s="29"/>
      <c r="C199" s="29"/>
      <c r="D199" s="31"/>
    </row>
    <row r="200" spans="1:4" ht="15.75" customHeight="1" x14ac:dyDescent="0.3">
      <c r="A200" s="2"/>
      <c r="B200" s="29"/>
      <c r="C200" s="29"/>
      <c r="D200" s="31"/>
    </row>
    <row r="201" spans="1:4" ht="15.75" customHeight="1" x14ac:dyDescent="0.3">
      <c r="A201" s="2"/>
      <c r="B201" s="3"/>
      <c r="C201" s="3"/>
      <c r="D201" s="3"/>
    </row>
    <row r="202" spans="1:4" ht="15.75" customHeight="1" x14ac:dyDescent="0.35">
      <c r="A202" s="1"/>
      <c r="B202" s="1"/>
      <c r="C202" s="1"/>
      <c r="D202" s="1"/>
    </row>
    <row r="203" spans="1:4" ht="15.75" customHeight="1" x14ac:dyDescent="0.35">
      <c r="A203" s="1"/>
      <c r="B203" s="1"/>
      <c r="C203" s="1"/>
      <c r="D203" s="1"/>
    </row>
    <row r="204" spans="1:4" ht="15.75" customHeight="1" x14ac:dyDescent="0.3">
      <c r="A204" s="42"/>
      <c r="B204" s="42"/>
      <c r="C204" s="42"/>
      <c r="D204" s="42"/>
    </row>
    <row r="205" spans="1:4" ht="15.75" customHeight="1" x14ac:dyDescent="0.3">
      <c r="A205" s="17"/>
      <c r="B205" s="20"/>
      <c r="C205" s="20"/>
      <c r="D205" s="22"/>
    </row>
    <row r="206" spans="1:4" ht="15.75" customHeight="1" x14ac:dyDescent="0.3">
      <c r="A206" s="17"/>
      <c r="B206" s="18"/>
      <c r="C206" s="18"/>
      <c r="D206" s="18"/>
    </row>
    <row r="207" spans="1:4" ht="15.75" customHeight="1" x14ac:dyDescent="0.3"/>
    <row r="208" spans="1:4" ht="15.75" customHeight="1" x14ac:dyDescent="0.3"/>
    <row r="209" spans="1:4" ht="15.75" customHeight="1" x14ac:dyDescent="0.3">
      <c r="A209" s="36"/>
      <c r="B209" s="37"/>
      <c r="C209" s="37"/>
      <c r="D209" s="37"/>
    </row>
    <row r="210" spans="1:4" ht="15.75" customHeight="1" x14ac:dyDescent="0.3"/>
    <row r="211" spans="1:4" ht="15.75" customHeight="1" x14ac:dyDescent="0.3"/>
    <row r="212" spans="1:4" ht="15.75" customHeight="1" x14ac:dyDescent="0.3"/>
    <row r="213" spans="1:4" ht="15.75" customHeight="1" x14ac:dyDescent="0.3"/>
    <row r="214" spans="1:4" ht="15.75" customHeight="1" x14ac:dyDescent="0.3"/>
    <row r="215" spans="1:4" ht="15.75" customHeight="1" x14ac:dyDescent="0.3"/>
    <row r="216" spans="1:4" ht="15.75" customHeight="1" x14ac:dyDescent="0.3"/>
    <row r="217" spans="1:4" ht="15.75" customHeight="1" x14ac:dyDescent="0.3"/>
    <row r="218" spans="1:4" ht="15.75" customHeight="1" x14ac:dyDescent="0.3"/>
    <row r="219" spans="1:4" ht="15.75" customHeight="1" x14ac:dyDescent="0.3"/>
    <row r="220" spans="1:4" ht="15.75" customHeight="1" x14ac:dyDescent="0.3"/>
    <row r="221" spans="1:4" ht="15.75" customHeight="1" x14ac:dyDescent="0.3"/>
    <row r="222" spans="1:4" ht="15.75" customHeight="1" x14ac:dyDescent="0.3"/>
    <row r="223" spans="1:4" ht="15.75" customHeight="1" x14ac:dyDescent="0.3"/>
    <row r="224" spans="1: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hidden="1" customHeight="1" x14ac:dyDescent="0.3"/>
    <row r="245" ht="14.25" customHeight="1" x14ac:dyDescent="0.3"/>
    <row r="246" ht="15.75" hidden="1" customHeight="1" x14ac:dyDescent="0.3"/>
    <row r="247" ht="15.75" hidden="1" customHeight="1" x14ac:dyDescent="0.3"/>
    <row r="248" ht="15.75" hidden="1" customHeight="1" x14ac:dyDescent="0.3"/>
    <row r="249" ht="15.75" hidden="1" customHeight="1" x14ac:dyDescent="0.3"/>
    <row r="250" ht="15.75" hidden="1" customHeight="1" x14ac:dyDescent="0.3"/>
    <row r="251" ht="15.75" hidden="1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6">
    <mergeCell ref="A209:D209"/>
    <mergeCell ref="A1:D1"/>
    <mergeCell ref="A2:D2"/>
    <mergeCell ref="A3:D3"/>
    <mergeCell ref="B5:D5"/>
    <mergeCell ref="A204:D204"/>
  </mergeCells>
  <printOptions gridLines="1"/>
  <pageMargins left="0.4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>
      <selection activeCell="A4" sqref="A4"/>
    </sheetView>
  </sheetViews>
  <sheetFormatPr defaultColWidth="12.6640625" defaultRowHeight="15" customHeight="1" x14ac:dyDescent="0.3"/>
  <cols>
    <col min="1" max="1" width="2.33203125" customWidth="1"/>
    <col min="2" max="2" width="9.5" style="21" customWidth="1"/>
    <col min="3" max="3" width="8" customWidth="1"/>
    <col min="4" max="4" width="7.1640625" customWidth="1"/>
    <col min="5" max="5" width="22.6640625" customWidth="1"/>
    <col min="6" max="6" width="33.83203125" customWidth="1"/>
    <col min="7" max="7" width="47.6640625" customWidth="1"/>
    <col min="8" max="8" width="8.6640625" customWidth="1"/>
    <col min="9" max="26" width="7.6640625" customWidth="1"/>
  </cols>
  <sheetData>
    <row r="1" spans="1:8" ht="18" x14ac:dyDescent="0.4">
      <c r="A1" s="46" t="s">
        <v>0</v>
      </c>
      <c r="B1" s="46"/>
      <c r="C1" s="46"/>
      <c r="D1" s="46"/>
      <c r="E1" s="46"/>
      <c r="F1" s="46"/>
      <c r="G1" s="46"/>
      <c r="H1" s="46"/>
    </row>
    <row r="2" spans="1:8" ht="18" x14ac:dyDescent="0.4">
      <c r="A2" s="46" t="s">
        <v>170</v>
      </c>
      <c r="B2" s="46"/>
      <c r="C2" s="46"/>
      <c r="D2" s="46"/>
      <c r="E2" s="46"/>
      <c r="F2" s="46"/>
      <c r="G2" s="46"/>
      <c r="H2" s="46"/>
    </row>
    <row r="3" spans="1:8" ht="14" x14ac:dyDescent="0.3">
      <c r="A3" s="47" t="s">
        <v>521</v>
      </c>
      <c r="B3" s="47"/>
      <c r="C3" s="47"/>
      <c r="D3" s="47"/>
      <c r="E3" s="47"/>
      <c r="F3" s="47"/>
      <c r="G3" s="47"/>
      <c r="H3" s="47"/>
    </row>
    <row r="4" spans="1:8" ht="14.5" x14ac:dyDescent="0.35">
      <c r="A4" s="1"/>
      <c r="B4" s="1"/>
      <c r="C4" s="1"/>
      <c r="D4" s="1"/>
      <c r="E4" s="1"/>
      <c r="F4" s="1"/>
      <c r="G4" s="1"/>
      <c r="H4" s="1"/>
    </row>
    <row r="5" spans="1:8" ht="19.5" customHeight="1" x14ac:dyDescent="0.35">
      <c r="A5" s="1"/>
      <c r="B5" s="32" t="s">
        <v>171</v>
      </c>
      <c r="C5" s="32" t="s">
        <v>172</v>
      </c>
      <c r="D5" s="32" t="s">
        <v>173</v>
      </c>
      <c r="E5" s="32" t="s">
        <v>174</v>
      </c>
      <c r="F5" s="32" t="s">
        <v>175</v>
      </c>
      <c r="G5" s="32" t="s">
        <v>176</v>
      </c>
      <c r="H5" s="32" t="s">
        <v>177</v>
      </c>
    </row>
    <row r="6" spans="1:8" s="23" customFormat="1" ht="20" customHeight="1" x14ac:dyDescent="0.35">
      <c r="A6" s="1"/>
      <c r="B6" s="6">
        <v>44929</v>
      </c>
      <c r="C6" s="6" t="s">
        <v>178</v>
      </c>
      <c r="D6" s="6"/>
      <c r="E6" s="6"/>
      <c r="F6" s="6" t="s">
        <v>321</v>
      </c>
      <c r="G6" s="6" t="s">
        <v>179</v>
      </c>
      <c r="H6" s="4" t="s">
        <v>322</v>
      </c>
    </row>
    <row r="7" spans="1:8" s="23" customFormat="1" ht="20" customHeight="1" x14ac:dyDescent="0.35">
      <c r="A7" s="1"/>
      <c r="B7" s="6">
        <v>44929</v>
      </c>
      <c r="C7" s="6" t="s">
        <v>178</v>
      </c>
      <c r="D7" s="6"/>
      <c r="E7" s="6"/>
      <c r="F7" s="6" t="s">
        <v>323</v>
      </c>
      <c r="G7" s="6" t="s">
        <v>324</v>
      </c>
      <c r="H7" s="4">
        <v>59095.41</v>
      </c>
    </row>
    <row r="8" spans="1:8" s="23" customFormat="1" ht="20" customHeight="1" x14ac:dyDescent="0.35">
      <c r="A8" s="1"/>
      <c r="B8" s="6">
        <v>44929</v>
      </c>
      <c r="C8" s="6" t="s">
        <v>243</v>
      </c>
      <c r="D8" s="6"/>
      <c r="E8" s="6"/>
      <c r="F8" s="6" t="s">
        <v>325</v>
      </c>
      <c r="G8" s="6" t="s">
        <v>326</v>
      </c>
      <c r="H8" s="4">
        <v>-420</v>
      </c>
    </row>
    <row r="9" spans="1:8" s="23" customFormat="1" ht="20" customHeight="1" x14ac:dyDescent="0.35">
      <c r="A9" s="1"/>
      <c r="B9" s="6">
        <v>44930</v>
      </c>
      <c r="C9" s="6" t="s">
        <v>327</v>
      </c>
      <c r="D9" s="6"/>
      <c r="E9" s="6" t="s">
        <v>278</v>
      </c>
      <c r="F9" s="6" t="s">
        <v>328</v>
      </c>
      <c r="G9" s="6" t="s">
        <v>329</v>
      </c>
      <c r="H9" s="4">
        <v>-2951.73</v>
      </c>
    </row>
    <row r="10" spans="1:8" s="23" customFormat="1" ht="20" customHeight="1" x14ac:dyDescent="0.3">
      <c r="A10" s="45"/>
      <c r="B10" s="44">
        <v>44930</v>
      </c>
      <c r="C10" s="44" t="s">
        <v>178</v>
      </c>
      <c r="D10" s="44"/>
      <c r="E10" s="44"/>
      <c r="F10" s="6" t="s">
        <v>330</v>
      </c>
      <c r="G10" s="44" t="s">
        <v>302</v>
      </c>
      <c r="H10" s="43">
        <v>625.16</v>
      </c>
    </row>
    <row r="11" spans="1:8" s="23" customFormat="1" ht="20" customHeight="1" x14ac:dyDescent="0.3">
      <c r="A11" s="45"/>
      <c r="B11" s="44"/>
      <c r="C11" s="44"/>
      <c r="D11" s="44"/>
      <c r="E11" s="44"/>
      <c r="F11" s="6" t="s">
        <v>295</v>
      </c>
      <c r="G11" s="44"/>
      <c r="H11" s="43"/>
    </row>
    <row r="12" spans="1:8" s="23" customFormat="1" ht="20" customHeight="1" x14ac:dyDescent="0.3">
      <c r="A12" s="45"/>
      <c r="B12" s="44">
        <v>44930</v>
      </c>
      <c r="C12" s="44" t="s">
        <v>178</v>
      </c>
      <c r="D12" s="44"/>
      <c r="E12" s="44"/>
      <c r="F12" s="6" t="s">
        <v>331</v>
      </c>
      <c r="G12" s="44" t="s">
        <v>302</v>
      </c>
      <c r="H12" s="43">
        <v>130.83000000000001</v>
      </c>
    </row>
    <row r="13" spans="1:8" s="23" customFormat="1" ht="20" customHeight="1" x14ac:dyDescent="0.3">
      <c r="A13" s="45"/>
      <c r="B13" s="44"/>
      <c r="C13" s="44"/>
      <c r="D13" s="44"/>
      <c r="E13" s="44"/>
      <c r="F13" s="6" t="s">
        <v>295</v>
      </c>
      <c r="G13" s="44"/>
      <c r="H13" s="43"/>
    </row>
    <row r="14" spans="1:8" s="23" customFormat="1" ht="20" customHeight="1" x14ac:dyDescent="0.3">
      <c r="A14" s="45"/>
      <c r="B14" s="44">
        <v>44930</v>
      </c>
      <c r="C14" s="44" t="s">
        <v>178</v>
      </c>
      <c r="D14" s="44"/>
      <c r="E14" s="44"/>
      <c r="F14" s="6" t="s">
        <v>332</v>
      </c>
      <c r="G14" s="44" t="s">
        <v>302</v>
      </c>
      <c r="H14" s="43">
        <v>5768.01</v>
      </c>
    </row>
    <row r="15" spans="1:8" s="23" customFormat="1" ht="20" customHeight="1" x14ac:dyDescent="0.3">
      <c r="A15" s="45"/>
      <c r="B15" s="44"/>
      <c r="C15" s="44"/>
      <c r="D15" s="44"/>
      <c r="E15" s="44"/>
      <c r="F15" s="6" t="s">
        <v>333</v>
      </c>
      <c r="G15" s="44"/>
      <c r="H15" s="43"/>
    </row>
    <row r="16" spans="1:8" s="23" customFormat="1" ht="20" customHeight="1" x14ac:dyDescent="0.35">
      <c r="A16" s="1"/>
      <c r="B16" s="6">
        <v>44930</v>
      </c>
      <c r="C16" s="6" t="s">
        <v>178</v>
      </c>
      <c r="D16" s="6"/>
      <c r="E16" s="6"/>
      <c r="F16" s="6" t="s">
        <v>334</v>
      </c>
      <c r="G16" s="6" t="s">
        <v>179</v>
      </c>
      <c r="H16" s="4" t="s">
        <v>335</v>
      </c>
    </row>
    <row r="17" spans="1:8" s="23" customFormat="1" ht="20" customHeight="1" x14ac:dyDescent="0.35">
      <c r="A17" s="1"/>
      <c r="B17" s="6">
        <v>44930</v>
      </c>
      <c r="C17" s="6" t="s">
        <v>178</v>
      </c>
      <c r="D17" s="6"/>
      <c r="E17" s="6"/>
      <c r="F17" s="6" t="s">
        <v>336</v>
      </c>
      <c r="G17" s="6" t="s">
        <v>179</v>
      </c>
      <c r="H17" s="4" t="s">
        <v>337</v>
      </c>
    </row>
    <row r="18" spans="1:8" s="23" customFormat="1" ht="20" customHeight="1" x14ac:dyDescent="0.35">
      <c r="A18" s="1"/>
      <c r="B18" s="6">
        <v>44930</v>
      </c>
      <c r="C18" s="6" t="s">
        <v>180</v>
      </c>
      <c r="D18" s="6" t="s">
        <v>188</v>
      </c>
      <c r="E18" s="6" t="s">
        <v>189</v>
      </c>
      <c r="F18" s="6" t="s">
        <v>338</v>
      </c>
      <c r="G18" s="6" t="s">
        <v>179</v>
      </c>
      <c r="H18" s="4" t="s">
        <v>339</v>
      </c>
    </row>
    <row r="19" spans="1:8" s="23" customFormat="1" ht="20" customHeight="1" x14ac:dyDescent="0.35">
      <c r="A19" s="1"/>
      <c r="B19" s="6">
        <v>44930</v>
      </c>
      <c r="C19" s="6" t="s">
        <v>180</v>
      </c>
      <c r="D19" s="6" t="s">
        <v>188</v>
      </c>
      <c r="E19" s="6" t="s">
        <v>190</v>
      </c>
      <c r="F19" s="6" t="s">
        <v>338</v>
      </c>
      <c r="G19" s="6" t="s">
        <v>179</v>
      </c>
      <c r="H19" s="4" t="s">
        <v>340</v>
      </c>
    </row>
    <row r="20" spans="1:8" s="23" customFormat="1" ht="20" customHeight="1" x14ac:dyDescent="0.35">
      <c r="A20" s="1"/>
      <c r="B20" s="6">
        <v>44930</v>
      </c>
      <c r="C20" s="6" t="s">
        <v>180</v>
      </c>
      <c r="D20" s="6" t="s">
        <v>188</v>
      </c>
      <c r="E20" s="6" t="s">
        <v>251</v>
      </c>
      <c r="F20" s="6" t="s">
        <v>338</v>
      </c>
      <c r="G20" s="6" t="s">
        <v>179</v>
      </c>
      <c r="H20" s="4" t="s">
        <v>341</v>
      </c>
    </row>
    <row r="21" spans="1:8" s="23" customFormat="1" ht="20" customHeight="1" x14ac:dyDescent="0.35">
      <c r="A21" s="1"/>
      <c r="B21" s="6">
        <v>44930</v>
      </c>
      <c r="C21" s="6" t="s">
        <v>180</v>
      </c>
      <c r="D21" s="6" t="s">
        <v>188</v>
      </c>
      <c r="E21" s="6" t="s">
        <v>191</v>
      </c>
      <c r="F21" s="6" t="s">
        <v>338</v>
      </c>
      <c r="G21" s="6" t="s">
        <v>179</v>
      </c>
      <c r="H21" s="4" t="s">
        <v>342</v>
      </c>
    </row>
    <row r="22" spans="1:8" s="23" customFormat="1" ht="20" customHeight="1" x14ac:dyDescent="0.35">
      <c r="A22" s="1"/>
      <c r="B22" s="6">
        <v>44930</v>
      </c>
      <c r="C22" s="6" t="s">
        <v>180</v>
      </c>
      <c r="D22" s="6" t="s">
        <v>188</v>
      </c>
      <c r="E22" s="6" t="s">
        <v>261</v>
      </c>
      <c r="F22" s="6" t="s">
        <v>338</v>
      </c>
      <c r="G22" s="6" t="s">
        <v>179</v>
      </c>
      <c r="H22" s="4" t="s">
        <v>343</v>
      </c>
    </row>
    <row r="23" spans="1:8" s="23" customFormat="1" ht="20" customHeight="1" x14ac:dyDescent="0.35">
      <c r="A23" s="1"/>
      <c r="B23" s="6">
        <v>44930</v>
      </c>
      <c r="C23" s="6" t="s">
        <v>180</v>
      </c>
      <c r="D23" s="6" t="s">
        <v>188</v>
      </c>
      <c r="E23" s="6" t="s">
        <v>192</v>
      </c>
      <c r="F23" s="6" t="s">
        <v>338</v>
      </c>
      <c r="G23" s="6" t="s">
        <v>179</v>
      </c>
      <c r="H23" s="4" t="s">
        <v>344</v>
      </c>
    </row>
    <row r="24" spans="1:8" s="23" customFormat="1" ht="20" customHeight="1" x14ac:dyDescent="0.35">
      <c r="A24" s="1"/>
      <c r="B24" s="6">
        <v>44930</v>
      </c>
      <c r="C24" s="6" t="s">
        <v>180</v>
      </c>
      <c r="D24" s="6" t="s">
        <v>188</v>
      </c>
      <c r="E24" s="6" t="s">
        <v>193</v>
      </c>
      <c r="F24" s="6" t="s">
        <v>338</v>
      </c>
      <c r="G24" s="6" t="s">
        <v>179</v>
      </c>
      <c r="H24" s="4" t="s">
        <v>345</v>
      </c>
    </row>
    <row r="25" spans="1:8" s="23" customFormat="1" ht="20" customHeight="1" x14ac:dyDescent="0.35">
      <c r="A25" s="1"/>
      <c r="B25" s="6">
        <v>44930</v>
      </c>
      <c r="C25" s="6" t="s">
        <v>180</v>
      </c>
      <c r="D25" s="6" t="s">
        <v>188</v>
      </c>
      <c r="E25" s="6" t="s">
        <v>279</v>
      </c>
      <c r="F25" s="6" t="s">
        <v>338</v>
      </c>
      <c r="G25" s="6" t="s">
        <v>179</v>
      </c>
      <c r="H25" s="4" t="s">
        <v>346</v>
      </c>
    </row>
    <row r="26" spans="1:8" s="23" customFormat="1" ht="20" customHeight="1" x14ac:dyDescent="0.35">
      <c r="A26" s="1"/>
      <c r="B26" s="6">
        <v>44930</v>
      </c>
      <c r="C26" s="6" t="s">
        <v>180</v>
      </c>
      <c r="D26" s="6" t="s">
        <v>188</v>
      </c>
      <c r="E26" s="6" t="s">
        <v>280</v>
      </c>
      <c r="F26" s="6" t="s">
        <v>338</v>
      </c>
      <c r="G26" s="6" t="s">
        <v>179</v>
      </c>
      <c r="H26" s="4" t="s">
        <v>347</v>
      </c>
    </row>
    <row r="27" spans="1:8" s="23" customFormat="1" ht="20" customHeight="1" x14ac:dyDescent="0.35">
      <c r="A27" s="1"/>
      <c r="B27" s="6">
        <v>44930</v>
      </c>
      <c r="C27" s="6" t="s">
        <v>180</v>
      </c>
      <c r="D27" s="6" t="s">
        <v>188</v>
      </c>
      <c r="E27" s="6" t="s">
        <v>194</v>
      </c>
      <c r="F27" s="6" t="s">
        <v>338</v>
      </c>
      <c r="G27" s="6" t="s">
        <v>179</v>
      </c>
      <c r="H27" s="4" t="s">
        <v>348</v>
      </c>
    </row>
    <row r="28" spans="1:8" s="23" customFormat="1" ht="20" customHeight="1" x14ac:dyDescent="0.35">
      <c r="A28" s="1"/>
      <c r="B28" s="6">
        <v>44930</v>
      </c>
      <c r="C28" s="6" t="s">
        <v>180</v>
      </c>
      <c r="D28" s="6" t="s">
        <v>188</v>
      </c>
      <c r="E28" s="6" t="s">
        <v>349</v>
      </c>
      <c r="F28" s="6" t="s">
        <v>338</v>
      </c>
      <c r="G28" s="6" t="s">
        <v>179</v>
      </c>
      <c r="H28" s="4" t="s">
        <v>350</v>
      </c>
    </row>
    <row r="29" spans="1:8" s="23" customFormat="1" ht="20" customHeight="1" x14ac:dyDescent="0.35">
      <c r="A29" s="1"/>
      <c r="B29" s="6">
        <v>44930</v>
      </c>
      <c r="C29" s="6" t="s">
        <v>180</v>
      </c>
      <c r="D29" s="6" t="s">
        <v>188</v>
      </c>
      <c r="E29" s="6" t="s">
        <v>248</v>
      </c>
      <c r="F29" s="6" t="s">
        <v>338</v>
      </c>
      <c r="G29" s="6" t="s">
        <v>179</v>
      </c>
      <c r="H29" s="4" t="s">
        <v>351</v>
      </c>
    </row>
    <row r="30" spans="1:8" s="23" customFormat="1" ht="20" customHeight="1" x14ac:dyDescent="0.35">
      <c r="A30" s="1"/>
      <c r="B30" s="6">
        <v>44931</v>
      </c>
      <c r="C30" s="6" t="s">
        <v>180</v>
      </c>
      <c r="D30" s="6">
        <v>3569</v>
      </c>
      <c r="E30" s="6" t="s">
        <v>352</v>
      </c>
      <c r="F30" s="6" t="s">
        <v>353</v>
      </c>
      <c r="G30" s="6" t="s">
        <v>354</v>
      </c>
      <c r="H30" s="4">
        <v>-24480</v>
      </c>
    </row>
    <row r="31" spans="1:8" s="23" customFormat="1" ht="20" customHeight="1" x14ac:dyDescent="0.35">
      <c r="A31" s="1"/>
      <c r="B31" s="6">
        <v>44931</v>
      </c>
      <c r="C31" s="6" t="s">
        <v>180</v>
      </c>
      <c r="D31" s="6">
        <v>3570</v>
      </c>
      <c r="E31" s="6" t="s">
        <v>355</v>
      </c>
      <c r="F31" s="6" t="s">
        <v>356</v>
      </c>
      <c r="G31" s="6" t="s">
        <v>357</v>
      </c>
      <c r="H31" s="4">
        <v>-19.98</v>
      </c>
    </row>
    <row r="32" spans="1:8" s="23" customFormat="1" ht="20" customHeight="1" x14ac:dyDescent="0.35">
      <c r="A32" s="1"/>
      <c r="B32" s="6">
        <v>44931</v>
      </c>
      <c r="C32" s="6" t="s">
        <v>180</v>
      </c>
      <c r="D32" s="6">
        <v>3571</v>
      </c>
      <c r="E32" s="6" t="s">
        <v>281</v>
      </c>
      <c r="F32" s="6" t="s">
        <v>358</v>
      </c>
      <c r="G32" s="6" t="s">
        <v>181</v>
      </c>
      <c r="H32" s="4">
        <v>-1</v>
      </c>
    </row>
    <row r="33" spans="1:8" s="23" customFormat="1" ht="20" customHeight="1" x14ac:dyDescent="0.35">
      <c r="A33" s="1"/>
      <c r="B33" s="6">
        <v>44931</v>
      </c>
      <c r="C33" s="6" t="s">
        <v>180</v>
      </c>
      <c r="D33" s="6">
        <v>3572</v>
      </c>
      <c r="E33" s="6" t="s">
        <v>359</v>
      </c>
      <c r="F33" s="6" t="s">
        <v>360</v>
      </c>
      <c r="G33" s="6" t="s">
        <v>361</v>
      </c>
      <c r="H33" s="4">
        <v>-1282.97</v>
      </c>
    </row>
    <row r="34" spans="1:8" s="23" customFormat="1" ht="20" customHeight="1" x14ac:dyDescent="0.35">
      <c r="A34" s="1"/>
      <c r="B34" s="6">
        <v>44931</v>
      </c>
      <c r="C34" s="6" t="s">
        <v>180</v>
      </c>
      <c r="D34" s="6">
        <v>3573</v>
      </c>
      <c r="E34" s="6" t="s">
        <v>182</v>
      </c>
      <c r="F34" s="6" t="s">
        <v>362</v>
      </c>
      <c r="G34" s="6" t="s">
        <v>283</v>
      </c>
      <c r="H34" s="4">
        <v>-119.36</v>
      </c>
    </row>
    <row r="35" spans="1:8" s="23" customFormat="1" ht="20" customHeight="1" x14ac:dyDescent="0.35">
      <c r="A35" s="1"/>
      <c r="B35" s="6">
        <v>44931</v>
      </c>
      <c r="C35" s="6" t="s">
        <v>180</v>
      </c>
      <c r="D35" s="6">
        <v>3574</v>
      </c>
      <c r="E35" s="6" t="s">
        <v>182</v>
      </c>
      <c r="F35" s="6" t="s">
        <v>363</v>
      </c>
      <c r="G35" s="6" t="s">
        <v>203</v>
      </c>
      <c r="H35" s="4">
        <v>-136.84</v>
      </c>
    </row>
    <row r="36" spans="1:8" s="23" customFormat="1" ht="20" customHeight="1" x14ac:dyDescent="0.35">
      <c r="A36" s="1"/>
      <c r="B36" s="6">
        <v>44931</v>
      </c>
      <c r="C36" s="6" t="s">
        <v>180</v>
      </c>
      <c r="D36" s="6">
        <v>3575</v>
      </c>
      <c r="E36" s="6" t="s">
        <v>301</v>
      </c>
      <c r="F36" s="6" t="s">
        <v>364</v>
      </c>
      <c r="G36" s="6" t="s">
        <v>246</v>
      </c>
      <c r="H36" s="4">
        <v>-112.74</v>
      </c>
    </row>
    <row r="37" spans="1:8" s="23" customFormat="1" ht="20" customHeight="1" x14ac:dyDescent="0.35">
      <c r="A37" s="1"/>
      <c r="B37" s="6">
        <v>44931</v>
      </c>
      <c r="C37" s="6" t="s">
        <v>180</v>
      </c>
      <c r="D37" s="6">
        <v>3576</v>
      </c>
      <c r="E37" s="6" t="s">
        <v>198</v>
      </c>
      <c r="F37" s="6" t="s">
        <v>305</v>
      </c>
      <c r="G37" s="6" t="s">
        <v>179</v>
      </c>
      <c r="H37" s="4" t="s">
        <v>365</v>
      </c>
    </row>
    <row r="38" spans="1:8" s="23" customFormat="1" ht="20" customHeight="1" x14ac:dyDescent="0.35">
      <c r="A38" s="1"/>
      <c r="B38" s="6">
        <v>44931</v>
      </c>
      <c r="C38" s="6" t="s">
        <v>180</v>
      </c>
      <c r="D38" s="6">
        <v>3577</v>
      </c>
      <c r="E38" s="6" t="s">
        <v>183</v>
      </c>
      <c r="F38" s="6" t="s">
        <v>366</v>
      </c>
      <c r="G38" s="6" t="s">
        <v>184</v>
      </c>
      <c r="H38" s="4">
        <v>-436.28</v>
      </c>
    </row>
    <row r="39" spans="1:8" s="23" customFormat="1" ht="20" customHeight="1" x14ac:dyDescent="0.35">
      <c r="A39" s="1"/>
      <c r="B39" s="6">
        <v>44931</v>
      </c>
      <c r="C39" s="6" t="s">
        <v>180</v>
      </c>
      <c r="D39" s="6">
        <v>3578</v>
      </c>
      <c r="E39" s="6" t="s">
        <v>235</v>
      </c>
      <c r="F39" s="6" t="s">
        <v>367</v>
      </c>
      <c r="G39" s="6" t="s">
        <v>298</v>
      </c>
      <c r="H39" s="4">
        <v>-24.19</v>
      </c>
    </row>
    <row r="40" spans="1:8" s="23" customFormat="1" ht="20" customHeight="1" x14ac:dyDescent="0.35">
      <c r="A40" s="1"/>
      <c r="B40" s="6">
        <v>44931</v>
      </c>
      <c r="C40" s="6" t="s">
        <v>180</v>
      </c>
      <c r="D40" s="6">
        <v>3579</v>
      </c>
      <c r="E40" s="6" t="s">
        <v>186</v>
      </c>
      <c r="F40" s="6" t="s">
        <v>368</v>
      </c>
      <c r="G40" s="6" t="s">
        <v>369</v>
      </c>
      <c r="H40" s="4">
        <v>-195.42</v>
      </c>
    </row>
    <row r="41" spans="1:8" s="23" customFormat="1" ht="20" customHeight="1" x14ac:dyDescent="0.3">
      <c r="A41" s="45"/>
      <c r="B41" s="44">
        <v>44931</v>
      </c>
      <c r="C41" s="44" t="s">
        <v>178</v>
      </c>
      <c r="D41" s="44"/>
      <c r="E41" s="44"/>
      <c r="F41" s="6" t="s">
        <v>370</v>
      </c>
      <c r="G41" s="44" t="s">
        <v>371</v>
      </c>
      <c r="H41" s="43">
        <v>130.83000000000001</v>
      </c>
    </row>
    <row r="42" spans="1:8" s="23" customFormat="1" ht="20" customHeight="1" x14ac:dyDescent="0.3">
      <c r="A42" s="45"/>
      <c r="B42" s="44"/>
      <c r="C42" s="44"/>
      <c r="D42" s="44"/>
      <c r="E42" s="44"/>
      <c r="F42" s="6" t="s">
        <v>295</v>
      </c>
      <c r="G42" s="44"/>
      <c r="H42" s="43"/>
    </row>
    <row r="43" spans="1:8" s="23" customFormat="1" ht="20" customHeight="1" x14ac:dyDescent="0.3">
      <c r="A43" s="45"/>
      <c r="B43" s="44">
        <v>44931</v>
      </c>
      <c r="C43" s="44" t="s">
        <v>178</v>
      </c>
      <c r="D43" s="44"/>
      <c r="E43" s="44"/>
      <c r="F43" s="6" t="s">
        <v>372</v>
      </c>
      <c r="G43" s="44" t="s">
        <v>371</v>
      </c>
      <c r="H43" s="43">
        <v>261.66000000000003</v>
      </c>
    </row>
    <row r="44" spans="1:8" s="23" customFormat="1" ht="20" customHeight="1" x14ac:dyDescent="0.3">
      <c r="A44" s="45"/>
      <c r="B44" s="44"/>
      <c r="C44" s="44"/>
      <c r="D44" s="44"/>
      <c r="E44" s="44"/>
      <c r="F44" s="6" t="s">
        <v>295</v>
      </c>
      <c r="G44" s="44"/>
      <c r="H44" s="43"/>
    </row>
    <row r="45" spans="1:8" s="23" customFormat="1" ht="20" customHeight="1" x14ac:dyDescent="0.3">
      <c r="A45" s="45"/>
      <c r="B45" s="44">
        <v>44931</v>
      </c>
      <c r="C45" s="44" t="s">
        <v>178</v>
      </c>
      <c r="D45" s="44"/>
      <c r="E45" s="44"/>
      <c r="F45" s="6" t="s">
        <v>373</v>
      </c>
      <c r="G45" s="44" t="s">
        <v>371</v>
      </c>
      <c r="H45" s="43">
        <v>3159.68</v>
      </c>
    </row>
    <row r="46" spans="1:8" s="23" customFormat="1" ht="20" customHeight="1" x14ac:dyDescent="0.3">
      <c r="A46" s="45"/>
      <c r="B46" s="44"/>
      <c r="C46" s="44"/>
      <c r="D46" s="44"/>
      <c r="E46" s="44"/>
      <c r="F46" s="6" t="s">
        <v>295</v>
      </c>
      <c r="G46" s="44"/>
      <c r="H46" s="43"/>
    </row>
    <row r="47" spans="1:8" s="23" customFormat="1" ht="20" customHeight="1" x14ac:dyDescent="0.3">
      <c r="A47" s="45"/>
      <c r="B47" s="44">
        <v>44931</v>
      </c>
      <c r="C47" s="44" t="s">
        <v>178</v>
      </c>
      <c r="D47" s="44"/>
      <c r="E47" s="44"/>
      <c r="F47" s="6" t="s">
        <v>374</v>
      </c>
      <c r="G47" s="44" t="s">
        <v>371</v>
      </c>
      <c r="H47" s="43">
        <v>1917.45</v>
      </c>
    </row>
    <row r="48" spans="1:8" s="23" customFormat="1" ht="20" customHeight="1" x14ac:dyDescent="0.3">
      <c r="A48" s="45"/>
      <c r="B48" s="44"/>
      <c r="C48" s="44"/>
      <c r="D48" s="44"/>
      <c r="E48" s="44"/>
      <c r="F48" s="6" t="s">
        <v>295</v>
      </c>
      <c r="G48" s="44"/>
      <c r="H48" s="43"/>
    </row>
    <row r="49" spans="1:8" s="23" customFormat="1" ht="20" customHeight="1" x14ac:dyDescent="0.35">
      <c r="A49" s="1"/>
      <c r="B49" s="6">
        <v>44932</v>
      </c>
      <c r="C49" s="6" t="s">
        <v>178</v>
      </c>
      <c r="D49" s="6"/>
      <c r="E49" s="6"/>
      <c r="F49" s="6" t="s">
        <v>375</v>
      </c>
      <c r="G49" s="6" t="s">
        <v>179</v>
      </c>
      <c r="H49" s="4" t="s">
        <v>376</v>
      </c>
    </row>
    <row r="50" spans="1:8" s="23" customFormat="1" ht="20" customHeight="1" x14ac:dyDescent="0.3">
      <c r="A50" s="45"/>
      <c r="B50" s="44">
        <v>44932</v>
      </c>
      <c r="C50" s="44" t="s">
        <v>178</v>
      </c>
      <c r="D50" s="44"/>
      <c r="E50" s="44"/>
      <c r="F50" s="6" t="s">
        <v>377</v>
      </c>
      <c r="G50" s="44" t="s">
        <v>179</v>
      </c>
      <c r="H50" s="43" t="s">
        <v>378</v>
      </c>
    </row>
    <row r="51" spans="1:8" s="23" customFormat="1" ht="20" customHeight="1" x14ac:dyDescent="0.3">
      <c r="A51" s="45"/>
      <c r="B51" s="44"/>
      <c r="C51" s="44"/>
      <c r="D51" s="44"/>
      <c r="E51" s="44"/>
      <c r="F51" s="6" t="s">
        <v>295</v>
      </c>
      <c r="G51" s="44"/>
      <c r="H51" s="43"/>
    </row>
    <row r="52" spans="1:8" s="23" customFormat="1" ht="20" customHeight="1" x14ac:dyDescent="0.35">
      <c r="A52" s="1"/>
      <c r="B52" s="6">
        <v>44932</v>
      </c>
      <c r="C52" s="6" t="s">
        <v>178</v>
      </c>
      <c r="D52" s="6"/>
      <c r="E52" s="6"/>
      <c r="F52" s="6" t="s">
        <v>379</v>
      </c>
      <c r="G52" s="6" t="s">
        <v>179</v>
      </c>
      <c r="H52" s="4" t="s">
        <v>380</v>
      </c>
    </row>
    <row r="53" spans="1:8" s="23" customFormat="1" ht="20" customHeight="1" x14ac:dyDescent="0.35">
      <c r="A53" s="1"/>
      <c r="B53" s="6">
        <v>44932</v>
      </c>
      <c r="C53" s="6" t="s">
        <v>180</v>
      </c>
      <c r="D53" s="6" t="s">
        <v>188</v>
      </c>
      <c r="E53" s="6" t="s">
        <v>282</v>
      </c>
      <c r="F53" s="6" t="s">
        <v>381</v>
      </c>
      <c r="G53" s="6">
        <v>6560</v>
      </c>
      <c r="H53" s="4">
        <v>-375</v>
      </c>
    </row>
    <row r="54" spans="1:8" s="23" customFormat="1" ht="20" customHeight="1" x14ac:dyDescent="0.35">
      <c r="A54" s="1"/>
      <c r="B54" s="6">
        <v>44935</v>
      </c>
      <c r="C54" s="6" t="s">
        <v>243</v>
      </c>
      <c r="D54" s="6"/>
      <c r="E54" s="6"/>
      <c r="F54" s="6" t="s">
        <v>382</v>
      </c>
      <c r="G54" s="6" t="s">
        <v>383</v>
      </c>
      <c r="H54" s="4">
        <v>-11000</v>
      </c>
    </row>
    <row r="55" spans="1:8" s="23" customFormat="1" ht="20" customHeight="1" x14ac:dyDescent="0.35">
      <c r="A55" s="1"/>
      <c r="B55" s="6">
        <v>44935</v>
      </c>
      <c r="C55" s="6" t="s">
        <v>178</v>
      </c>
      <c r="D55" s="6"/>
      <c r="E55" s="6"/>
      <c r="F55" s="6" t="s">
        <v>384</v>
      </c>
      <c r="G55" s="6" t="s">
        <v>179</v>
      </c>
      <c r="H55" s="4" t="s">
        <v>385</v>
      </c>
    </row>
    <row r="56" spans="1:8" s="23" customFormat="1" ht="20" customHeight="1" x14ac:dyDescent="0.3">
      <c r="A56" s="45"/>
      <c r="B56" s="44">
        <v>44935</v>
      </c>
      <c r="C56" s="44" t="s">
        <v>178</v>
      </c>
      <c r="D56" s="44"/>
      <c r="E56" s="44"/>
      <c r="F56" s="6" t="s">
        <v>386</v>
      </c>
      <c r="G56" s="44" t="s">
        <v>371</v>
      </c>
      <c r="H56" s="43">
        <v>1674.97</v>
      </c>
    </row>
    <row r="57" spans="1:8" s="23" customFormat="1" ht="20" customHeight="1" x14ac:dyDescent="0.3">
      <c r="A57" s="45"/>
      <c r="B57" s="44"/>
      <c r="C57" s="44"/>
      <c r="D57" s="44"/>
      <c r="E57" s="44"/>
      <c r="F57" s="6" t="s">
        <v>295</v>
      </c>
      <c r="G57" s="44"/>
      <c r="H57" s="43"/>
    </row>
    <row r="58" spans="1:8" s="23" customFormat="1" ht="20" customHeight="1" x14ac:dyDescent="0.35">
      <c r="A58" s="1"/>
      <c r="B58" s="6">
        <v>44935</v>
      </c>
      <c r="C58" s="6" t="s">
        <v>180</v>
      </c>
      <c r="D58" s="6" t="s">
        <v>286</v>
      </c>
      <c r="E58" s="6" t="s">
        <v>186</v>
      </c>
      <c r="F58" s="6" t="s">
        <v>387</v>
      </c>
      <c r="G58" s="6" t="s">
        <v>179</v>
      </c>
      <c r="H58" s="4" t="s">
        <v>388</v>
      </c>
    </row>
    <row r="59" spans="1:8" s="23" customFormat="1" ht="20" customHeight="1" x14ac:dyDescent="0.35">
      <c r="A59" s="1"/>
      <c r="B59" s="6">
        <v>44935</v>
      </c>
      <c r="C59" s="6" t="s">
        <v>180</v>
      </c>
      <c r="D59" s="6" t="s">
        <v>286</v>
      </c>
      <c r="E59" s="6" t="s">
        <v>186</v>
      </c>
      <c r="F59" s="6" t="s">
        <v>389</v>
      </c>
      <c r="G59" s="6" t="s">
        <v>179</v>
      </c>
      <c r="H59" s="4" t="s">
        <v>390</v>
      </c>
    </row>
    <row r="60" spans="1:8" s="23" customFormat="1" ht="20" customHeight="1" x14ac:dyDescent="0.35">
      <c r="A60" s="1"/>
      <c r="B60" s="6">
        <v>44936</v>
      </c>
      <c r="C60" s="6" t="s">
        <v>180</v>
      </c>
      <c r="D60" s="6" t="s">
        <v>247</v>
      </c>
      <c r="E60" s="6"/>
      <c r="F60" s="6" t="s">
        <v>207</v>
      </c>
      <c r="G60" s="6" t="s">
        <v>185</v>
      </c>
      <c r="H60" s="4">
        <v>-105</v>
      </c>
    </row>
    <row r="61" spans="1:8" s="23" customFormat="1" ht="20" customHeight="1" x14ac:dyDescent="0.35">
      <c r="A61" s="1"/>
      <c r="B61" s="6">
        <v>44937</v>
      </c>
      <c r="C61" s="6" t="s">
        <v>180</v>
      </c>
      <c r="D61" s="6" t="s">
        <v>188</v>
      </c>
      <c r="E61" s="6" t="s">
        <v>196</v>
      </c>
      <c r="F61" s="6" t="s">
        <v>391</v>
      </c>
      <c r="G61" s="6" t="s">
        <v>197</v>
      </c>
      <c r="H61" s="4">
        <v>-2671.04</v>
      </c>
    </row>
    <row r="62" spans="1:8" s="23" customFormat="1" ht="20" customHeight="1" x14ac:dyDescent="0.35">
      <c r="A62" s="1"/>
      <c r="B62" s="6">
        <v>44937</v>
      </c>
      <c r="C62" s="6" t="s">
        <v>178</v>
      </c>
      <c r="D62" s="6"/>
      <c r="E62" s="6"/>
      <c r="F62" s="6" t="s">
        <v>392</v>
      </c>
      <c r="G62" s="6" t="s">
        <v>179</v>
      </c>
      <c r="H62" s="4" t="s">
        <v>393</v>
      </c>
    </row>
    <row r="63" spans="1:8" s="23" customFormat="1" ht="20" customHeight="1" x14ac:dyDescent="0.3">
      <c r="A63" s="45"/>
      <c r="B63" s="44">
        <v>44937</v>
      </c>
      <c r="C63" s="44" t="s">
        <v>178</v>
      </c>
      <c r="D63" s="44"/>
      <c r="E63" s="44"/>
      <c r="F63" s="6" t="s">
        <v>394</v>
      </c>
      <c r="G63" s="44" t="s">
        <v>371</v>
      </c>
      <c r="H63" s="43">
        <v>736.98</v>
      </c>
    </row>
    <row r="64" spans="1:8" s="23" customFormat="1" ht="20" customHeight="1" x14ac:dyDescent="0.3">
      <c r="A64" s="45"/>
      <c r="B64" s="44"/>
      <c r="C64" s="44"/>
      <c r="D64" s="44"/>
      <c r="E64" s="44"/>
      <c r="F64" s="6" t="s">
        <v>295</v>
      </c>
      <c r="G64" s="44"/>
      <c r="H64" s="43"/>
    </row>
    <row r="65" spans="1:8" s="23" customFormat="1" ht="20" customHeight="1" x14ac:dyDescent="0.35">
      <c r="A65" s="1"/>
      <c r="B65" s="6">
        <v>44937</v>
      </c>
      <c r="C65" s="6" t="s">
        <v>180</v>
      </c>
      <c r="D65" s="6">
        <v>3580</v>
      </c>
      <c r="E65" s="6" t="s">
        <v>395</v>
      </c>
      <c r="F65" s="6" t="s">
        <v>396</v>
      </c>
      <c r="G65" s="6" t="s">
        <v>397</v>
      </c>
      <c r="H65" s="4">
        <v>-911.77</v>
      </c>
    </row>
    <row r="66" spans="1:8" s="23" customFormat="1" ht="20" customHeight="1" x14ac:dyDescent="0.35">
      <c r="A66" s="1"/>
      <c r="B66" s="6">
        <v>44937</v>
      </c>
      <c r="C66" s="6" t="s">
        <v>178</v>
      </c>
      <c r="D66" s="6"/>
      <c r="E66" s="6"/>
      <c r="F66" s="6" t="s">
        <v>398</v>
      </c>
      <c r="G66" s="6" t="s">
        <v>179</v>
      </c>
      <c r="H66" s="4" t="s">
        <v>399</v>
      </c>
    </row>
    <row r="67" spans="1:8" s="23" customFormat="1" ht="20" customHeight="1" x14ac:dyDescent="0.35">
      <c r="A67" s="1"/>
      <c r="B67" s="6">
        <v>44938</v>
      </c>
      <c r="C67" s="6" t="s">
        <v>180</v>
      </c>
      <c r="D67" s="6" t="s">
        <v>188</v>
      </c>
      <c r="E67" s="6" t="s">
        <v>199</v>
      </c>
      <c r="F67" s="6" t="s">
        <v>400</v>
      </c>
      <c r="G67" s="6" t="s">
        <v>179</v>
      </c>
      <c r="H67" s="4" t="s">
        <v>300</v>
      </c>
    </row>
    <row r="68" spans="1:8" s="23" customFormat="1" ht="20" customHeight="1" x14ac:dyDescent="0.35">
      <c r="A68" s="1"/>
      <c r="B68" s="6">
        <v>44938</v>
      </c>
      <c r="C68" s="6" t="s">
        <v>180</v>
      </c>
      <c r="D68" s="6" t="s">
        <v>188</v>
      </c>
      <c r="E68" s="6" t="s">
        <v>269</v>
      </c>
      <c r="F68" s="6" t="s">
        <v>400</v>
      </c>
      <c r="G68" s="6" t="s">
        <v>179</v>
      </c>
      <c r="H68" s="4" t="s">
        <v>401</v>
      </c>
    </row>
    <row r="69" spans="1:8" s="23" customFormat="1" ht="20" customHeight="1" x14ac:dyDescent="0.35">
      <c r="A69" s="1"/>
      <c r="B69" s="6">
        <v>44938</v>
      </c>
      <c r="C69" s="6" t="s">
        <v>180</v>
      </c>
      <c r="D69" s="6" t="s">
        <v>188</v>
      </c>
      <c r="E69" s="6" t="s">
        <v>200</v>
      </c>
      <c r="F69" s="6" t="s">
        <v>400</v>
      </c>
      <c r="G69" s="6" t="s">
        <v>179</v>
      </c>
      <c r="H69" s="4" t="s">
        <v>401</v>
      </c>
    </row>
    <row r="70" spans="1:8" s="23" customFormat="1" ht="20" customHeight="1" x14ac:dyDescent="0.35">
      <c r="A70" s="1"/>
      <c r="B70" s="6">
        <v>44938</v>
      </c>
      <c r="C70" s="6" t="s">
        <v>180</v>
      </c>
      <c r="D70" s="6" t="s">
        <v>188</v>
      </c>
      <c r="E70" s="6" t="s">
        <v>201</v>
      </c>
      <c r="F70" s="6" t="s">
        <v>400</v>
      </c>
      <c r="G70" s="6" t="s">
        <v>179</v>
      </c>
      <c r="H70" s="4" t="s">
        <v>285</v>
      </c>
    </row>
    <row r="71" spans="1:8" s="23" customFormat="1" ht="20" customHeight="1" x14ac:dyDescent="0.35">
      <c r="A71" s="1"/>
      <c r="B71" s="6">
        <v>44938</v>
      </c>
      <c r="C71" s="6" t="s">
        <v>180</v>
      </c>
      <c r="D71" s="6" t="s">
        <v>188</v>
      </c>
      <c r="E71" s="6" t="s">
        <v>272</v>
      </c>
      <c r="F71" s="6" t="s">
        <v>400</v>
      </c>
      <c r="G71" s="6" t="s">
        <v>179</v>
      </c>
      <c r="H71" s="4" t="s">
        <v>402</v>
      </c>
    </row>
    <row r="72" spans="1:8" s="23" customFormat="1" ht="20" customHeight="1" x14ac:dyDescent="0.35">
      <c r="A72" s="1"/>
      <c r="B72" s="6">
        <v>44938</v>
      </c>
      <c r="C72" s="6" t="s">
        <v>180</v>
      </c>
      <c r="D72" s="6" t="s">
        <v>188</v>
      </c>
      <c r="E72" s="6" t="s">
        <v>202</v>
      </c>
      <c r="F72" s="6" t="s">
        <v>400</v>
      </c>
      <c r="G72" s="6" t="s">
        <v>179</v>
      </c>
      <c r="H72" s="4" t="s">
        <v>403</v>
      </c>
    </row>
    <row r="73" spans="1:8" s="23" customFormat="1" ht="20" customHeight="1" x14ac:dyDescent="0.35">
      <c r="A73" s="1"/>
      <c r="B73" s="6">
        <v>44938</v>
      </c>
      <c r="C73" s="6" t="s">
        <v>180</v>
      </c>
      <c r="D73" s="6" t="s">
        <v>188</v>
      </c>
      <c r="E73" s="6" t="s">
        <v>240</v>
      </c>
      <c r="F73" s="6" t="s">
        <v>400</v>
      </c>
      <c r="G73" s="6" t="s">
        <v>179</v>
      </c>
      <c r="H73" s="4" t="s">
        <v>401</v>
      </c>
    </row>
    <row r="74" spans="1:8" s="23" customFormat="1" ht="20" customHeight="1" x14ac:dyDescent="0.35">
      <c r="A74" s="1"/>
      <c r="B74" s="6">
        <v>44938</v>
      </c>
      <c r="C74" s="6" t="s">
        <v>180</v>
      </c>
      <c r="D74" s="6" t="s">
        <v>188</v>
      </c>
      <c r="E74" s="6" t="s">
        <v>236</v>
      </c>
      <c r="F74" s="6" t="s">
        <v>400</v>
      </c>
      <c r="G74" s="6" t="s">
        <v>179</v>
      </c>
      <c r="H74" s="4" t="s">
        <v>404</v>
      </c>
    </row>
    <row r="75" spans="1:8" s="23" customFormat="1" ht="20" customHeight="1" x14ac:dyDescent="0.35">
      <c r="A75" s="1"/>
      <c r="B75" s="6">
        <v>44938</v>
      </c>
      <c r="C75" s="6" t="s">
        <v>180</v>
      </c>
      <c r="D75" s="6">
        <v>3581</v>
      </c>
      <c r="E75" s="6" t="s">
        <v>195</v>
      </c>
      <c r="F75" s="6" t="s">
        <v>405</v>
      </c>
      <c r="G75" s="6" t="s">
        <v>245</v>
      </c>
      <c r="H75" s="4">
        <v>-191.9</v>
      </c>
    </row>
    <row r="76" spans="1:8" s="23" customFormat="1" ht="20" customHeight="1" x14ac:dyDescent="0.35">
      <c r="A76" s="1"/>
      <c r="B76" s="6">
        <v>44938</v>
      </c>
      <c r="C76" s="6" t="s">
        <v>180</v>
      </c>
      <c r="D76" s="6">
        <v>3582</v>
      </c>
      <c r="E76" s="6" t="s">
        <v>183</v>
      </c>
      <c r="F76" s="6" t="s">
        <v>406</v>
      </c>
      <c r="G76" s="6" t="s">
        <v>179</v>
      </c>
      <c r="H76" s="4" t="s">
        <v>407</v>
      </c>
    </row>
    <row r="77" spans="1:8" s="23" customFormat="1" ht="20" customHeight="1" x14ac:dyDescent="0.35">
      <c r="A77" s="1"/>
      <c r="B77" s="6">
        <v>44938</v>
      </c>
      <c r="C77" s="6" t="s">
        <v>180</v>
      </c>
      <c r="D77" s="6">
        <v>3583</v>
      </c>
      <c r="E77" s="6" t="s">
        <v>408</v>
      </c>
      <c r="F77" s="6" t="s">
        <v>409</v>
      </c>
      <c r="G77" s="6" t="s">
        <v>397</v>
      </c>
      <c r="H77" s="4">
        <v>-993209.76</v>
      </c>
    </row>
    <row r="78" spans="1:8" s="23" customFormat="1" ht="20" customHeight="1" x14ac:dyDescent="0.35">
      <c r="A78" s="1"/>
      <c r="B78" s="6">
        <v>44938</v>
      </c>
      <c r="C78" s="6" t="s">
        <v>180</v>
      </c>
      <c r="D78" s="6">
        <v>3584</v>
      </c>
      <c r="E78" s="6" t="s">
        <v>410</v>
      </c>
      <c r="F78" s="6" t="s">
        <v>411</v>
      </c>
      <c r="G78" s="6" t="s">
        <v>397</v>
      </c>
      <c r="H78" s="4">
        <v>-33205.449999999997</v>
      </c>
    </row>
    <row r="79" spans="1:8" s="23" customFormat="1" ht="20" customHeight="1" x14ac:dyDescent="0.35">
      <c r="A79" s="1"/>
      <c r="B79" s="6">
        <v>44938</v>
      </c>
      <c r="C79" s="6" t="s">
        <v>180</v>
      </c>
      <c r="D79" s="6">
        <v>3585</v>
      </c>
      <c r="E79" s="6" t="s">
        <v>395</v>
      </c>
      <c r="F79" s="6" t="s">
        <v>412</v>
      </c>
      <c r="G79" s="6" t="s">
        <v>397</v>
      </c>
      <c r="H79" s="4">
        <v>-405917.46</v>
      </c>
    </row>
    <row r="80" spans="1:8" s="23" customFormat="1" ht="20" customHeight="1" x14ac:dyDescent="0.35">
      <c r="A80" s="1"/>
      <c r="B80" s="6">
        <v>44938</v>
      </c>
      <c r="C80" s="6" t="s">
        <v>180</v>
      </c>
      <c r="D80" s="6">
        <v>3586</v>
      </c>
      <c r="E80" s="6" t="s">
        <v>250</v>
      </c>
      <c r="F80" s="6">
        <v>44896</v>
      </c>
      <c r="G80" s="6" t="s">
        <v>246</v>
      </c>
      <c r="H80" s="4">
        <v>-78.97</v>
      </c>
    </row>
    <row r="81" spans="1:8" s="23" customFormat="1" ht="20" customHeight="1" x14ac:dyDescent="0.35">
      <c r="A81" s="1"/>
      <c r="B81" s="6">
        <v>44938</v>
      </c>
      <c r="C81" s="6" t="s">
        <v>180</v>
      </c>
      <c r="D81" s="6">
        <v>3587</v>
      </c>
      <c r="E81" s="6" t="s">
        <v>244</v>
      </c>
      <c r="F81" s="6" t="s">
        <v>413</v>
      </c>
      <c r="G81" s="6" t="s">
        <v>234</v>
      </c>
      <c r="H81" s="4">
        <v>-245.19</v>
      </c>
    </row>
    <row r="82" spans="1:8" s="23" customFormat="1" ht="20" customHeight="1" x14ac:dyDescent="0.35">
      <c r="A82" s="1"/>
      <c r="B82" s="6">
        <v>44938</v>
      </c>
      <c r="C82" s="6" t="s">
        <v>180</v>
      </c>
      <c r="D82" s="6">
        <v>3588</v>
      </c>
      <c r="E82" s="6" t="s">
        <v>235</v>
      </c>
      <c r="F82" s="6" t="s">
        <v>414</v>
      </c>
      <c r="G82" s="6" t="s">
        <v>179</v>
      </c>
      <c r="H82" s="4" t="s">
        <v>415</v>
      </c>
    </row>
    <row r="83" spans="1:8" s="23" customFormat="1" ht="20" customHeight="1" x14ac:dyDescent="0.35">
      <c r="A83" s="1"/>
      <c r="B83" s="6">
        <v>44938</v>
      </c>
      <c r="C83" s="6" t="s">
        <v>180</v>
      </c>
      <c r="D83" s="6">
        <v>3589</v>
      </c>
      <c r="E83" s="6" t="s">
        <v>416</v>
      </c>
      <c r="F83" s="6" t="s">
        <v>417</v>
      </c>
      <c r="G83" s="6" t="s">
        <v>181</v>
      </c>
      <c r="H83" s="4">
        <v>-385.01</v>
      </c>
    </row>
    <row r="84" spans="1:8" s="23" customFormat="1" ht="20" customHeight="1" x14ac:dyDescent="0.35">
      <c r="A84" s="1"/>
      <c r="B84" s="6">
        <v>44938</v>
      </c>
      <c r="C84" s="6" t="s">
        <v>180</v>
      </c>
      <c r="D84" s="6">
        <v>3590</v>
      </c>
      <c r="E84" s="6" t="s">
        <v>187</v>
      </c>
      <c r="F84" s="6" t="s">
        <v>418</v>
      </c>
      <c r="G84" s="6" t="s">
        <v>179</v>
      </c>
      <c r="H84" s="4" t="s">
        <v>419</v>
      </c>
    </row>
    <row r="85" spans="1:8" s="23" customFormat="1" ht="20" customHeight="1" x14ac:dyDescent="0.35">
      <c r="A85" s="1"/>
      <c r="B85" s="6">
        <v>44938</v>
      </c>
      <c r="C85" s="6" t="s">
        <v>243</v>
      </c>
      <c r="D85" s="6"/>
      <c r="E85" s="6"/>
      <c r="F85" s="6" t="s">
        <v>420</v>
      </c>
      <c r="G85" s="6" t="s">
        <v>284</v>
      </c>
      <c r="H85" s="4">
        <v>-1400000</v>
      </c>
    </row>
    <row r="86" spans="1:8" s="23" customFormat="1" ht="20" customHeight="1" x14ac:dyDescent="0.35">
      <c r="A86" s="1"/>
      <c r="B86" s="6">
        <v>44942</v>
      </c>
      <c r="C86" s="6" t="s">
        <v>178</v>
      </c>
      <c r="D86" s="6"/>
      <c r="E86" s="6"/>
      <c r="F86" s="6" t="s">
        <v>421</v>
      </c>
      <c r="G86" s="6" t="s">
        <v>179</v>
      </c>
      <c r="H86" s="4" t="s">
        <v>422</v>
      </c>
    </row>
    <row r="87" spans="1:8" s="23" customFormat="1" ht="20" customHeight="1" x14ac:dyDescent="0.3">
      <c r="A87" s="45"/>
      <c r="B87" s="44">
        <v>44942</v>
      </c>
      <c r="C87" s="44" t="s">
        <v>178</v>
      </c>
      <c r="D87" s="44"/>
      <c r="E87" s="44"/>
      <c r="F87" s="6" t="s">
        <v>423</v>
      </c>
      <c r="G87" s="44" t="s">
        <v>371</v>
      </c>
      <c r="H87" s="43">
        <v>2232.77</v>
      </c>
    </row>
    <row r="88" spans="1:8" s="23" customFormat="1" ht="20" customHeight="1" x14ac:dyDescent="0.3">
      <c r="A88" s="45"/>
      <c r="B88" s="44"/>
      <c r="C88" s="44"/>
      <c r="D88" s="44"/>
      <c r="E88" s="44"/>
      <c r="F88" s="6" t="s">
        <v>424</v>
      </c>
      <c r="G88" s="44"/>
      <c r="H88" s="43"/>
    </row>
    <row r="89" spans="1:8" s="23" customFormat="1" ht="20" customHeight="1" x14ac:dyDescent="0.3">
      <c r="A89" s="45"/>
      <c r="B89" s="44">
        <v>44942</v>
      </c>
      <c r="C89" s="44" t="s">
        <v>178</v>
      </c>
      <c r="D89" s="44"/>
      <c r="E89" s="44"/>
      <c r="F89" s="6" t="s">
        <v>425</v>
      </c>
      <c r="G89" s="44" t="s">
        <v>371</v>
      </c>
      <c r="H89" s="43">
        <v>1585.26</v>
      </c>
    </row>
    <row r="90" spans="1:8" s="23" customFormat="1" ht="20" customHeight="1" x14ac:dyDescent="0.3">
      <c r="A90" s="45"/>
      <c r="B90" s="44"/>
      <c r="C90" s="44"/>
      <c r="D90" s="44"/>
      <c r="E90" s="44"/>
      <c r="F90" s="6" t="s">
        <v>295</v>
      </c>
      <c r="G90" s="44"/>
      <c r="H90" s="43"/>
    </row>
    <row r="91" spans="1:8" s="23" customFormat="1" ht="20" customHeight="1" x14ac:dyDescent="0.3">
      <c r="A91" s="45"/>
      <c r="B91" s="44">
        <v>44942</v>
      </c>
      <c r="C91" s="44" t="s">
        <v>178</v>
      </c>
      <c r="D91" s="44"/>
      <c r="E91" s="44"/>
      <c r="F91" s="6" t="s">
        <v>426</v>
      </c>
      <c r="G91" s="44" t="s">
        <v>371</v>
      </c>
      <c r="H91" s="43">
        <v>376.4</v>
      </c>
    </row>
    <row r="92" spans="1:8" s="23" customFormat="1" ht="20" customHeight="1" x14ac:dyDescent="0.3">
      <c r="A92" s="45"/>
      <c r="B92" s="44"/>
      <c r="C92" s="44"/>
      <c r="D92" s="44"/>
      <c r="E92" s="44"/>
      <c r="F92" s="6" t="s">
        <v>295</v>
      </c>
      <c r="G92" s="44"/>
      <c r="H92" s="43"/>
    </row>
    <row r="93" spans="1:8" s="23" customFormat="1" ht="20" customHeight="1" x14ac:dyDescent="0.35">
      <c r="A93" s="1"/>
      <c r="B93" s="6">
        <v>44944</v>
      </c>
      <c r="C93" s="6" t="s">
        <v>180</v>
      </c>
      <c r="D93" s="6" t="s">
        <v>188</v>
      </c>
      <c r="E93" s="6" t="s">
        <v>192</v>
      </c>
      <c r="F93" s="6" t="s">
        <v>427</v>
      </c>
      <c r="G93" s="6" t="s">
        <v>179</v>
      </c>
      <c r="H93" s="4" t="s">
        <v>428</v>
      </c>
    </row>
    <row r="94" spans="1:8" s="23" customFormat="1" ht="20" customHeight="1" x14ac:dyDescent="0.35">
      <c r="A94" s="1"/>
      <c r="B94" s="6">
        <v>44944</v>
      </c>
      <c r="C94" s="6" t="s">
        <v>180</v>
      </c>
      <c r="D94" s="6" t="s">
        <v>188</v>
      </c>
      <c r="E94" s="6" t="s">
        <v>189</v>
      </c>
      <c r="F94" s="6" t="s">
        <v>427</v>
      </c>
      <c r="G94" s="6" t="s">
        <v>179</v>
      </c>
      <c r="H94" s="4" t="s">
        <v>429</v>
      </c>
    </row>
    <row r="95" spans="1:8" s="23" customFormat="1" ht="20" customHeight="1" x14ac:dyDescent="0.35">
      <c r="A95" s="1"/>
      <c r="B95" s="6">
        <v>44944</v>
      </c>
      <c r="C95" s="6" t="s">
        <v>180</v>
      </c>
      <c r="D95" s="6" t="s">
        <v>188</v>
      </c>
      <c r="E95" s="6" t="s">
        <v>190</v>
      </c>
      <c r="F95" s="6" t="s">
        <v>427</v>
      </c>
      <c r="G95" s="6" t="s">
        <v>179</v>
      </c>
      <c r="H95" s="4" t="s">
        <v>430</v>
      </c>
    </row>
    <row r="96" spans="1:8" s="23" customFormat="1" ht="20" customHeight="1" x14ac:dyDescent="0.35">
      <c r="A96" s="1"/>
      <c r="B96" s="6">
        <v>44944</v>
      </c>
      <c r="C96" s="6" t="s">
        <v>180</v>
      </c>
      <c r="D96" s="6" t="s">
        <v>188</v>
      </c>
      <c r="E96" s="6" t="s">
        <v>251</v>
      </c>
      <c r="F96" s="6" t="s">
        <v>427</v>
      </c>
      <c r="G96" s="6" t="s">
        <v>179</v>
      </c>
      <c r="H96" s="4" t="s">
        <v>431</v>
      </c>
    </row>
    <row r="97" spans="1:8" s="23" customFormat="1" ht="20" customHeight="1" x14ac:dyDescent="0.35">
      <c r="A97" s="1"/>
      <c r="B97" s="6">
        <v>44944</v>
      </c>
      <c r="C97" s="6" t="s">
        <v>180</v>
      </c>
      <c r="D97" s="6" t="s">
        <v>188</v>
      </c>
      <c r="E97" s="6" t="s">
        <v>191</v>
      </c>
      <c r="F97" s="6" t="s">
        <v>427</v>
      </c>
      <c r="G97" s="6" t="s">
        <v>179</v>
      </c>
      <c r="H97" s="4" t="s">
        <v>432</v>
      </c>
    </row>
    <row r="98" spans="1:8" s="23" customFormat="1" ht="20" customHeight="1" x14ac:dyDescent="0.35">
      <c r="A98" s="1"/>
      <c r="B98" s="6">
        <v>44944</v>
      </c>
      <c r="C98" s="6" t="s">
        <v>180</v>
      </c>
      <c r="D98" s="6" t="s">
        <v>188</v>
      </c>
      <c r="E98" s="6" t="s">
        <v>261</v>
      </c>
      <c r="F98" s="6" t="s">
        <v>427</v>
      </c>
      <c r="G98" s="6" t="s">
        <v>179</v>
      </c>
      <c r="H98" s="4" t="s">
        <v>433</v>
      </c>
    </row>
    <row r="99" spans="1:8" s="23" customFormat="1" ht="20" customHeight="1" x14ac:dyDescent="0.35">
      <c r="A99" s="1"/>
      <c r="B99" s="6">
        <v>44944</v>
      </c>
      <c r="C99" s="6" t="s">
        <v>180</v>
      </c>
      <c r="D99" s="6" t="s">
        <v>188</v>
      </c>
      <c r="E99" s="6" t="s">
        <v>192</v>
      </c>
      <c r="F99" s="6" t="s">
        <v>427</v>
      </c>
      <c r="G99" s="6" t="s">
        <v>179</v>
      </c>
      <c r="H99" s="4" t="s">
        <v>434</v>
      </c>
    </row>
    <row r="100" spans="1:8" s="23" customFormat="1" ht="20" customHeight="1" x14ac:dyDescent="0.35">
      <c r="A100" s="1"/>
      <c r="B100" s="6">
        <v>44944</v>
      </c>
      <c r="C100" s="6" t="s">
        <v>180</v>
      </c>
      <c r="D100" s="6" t="s">
        <v>188</v>
      </c>
      <c r="E100" s="6" t="s">
        <v>193</v>
      </c>
      <c r="F100" s="6" t="s">
        <v>427</v>
      </c>
      <c r="G100" s="6" t="s">
        <v>179</v>
      </c>
      <c r="H100" s="4" t="s">
        <v>435</v>
      </c>
    </row>
    <row r="101" spans="1:8" s="23" customFormat="1" ht="20" customHeight="1" x14ac:dyDescent="0.35">
      <c r="A101" s="1"/>
      <c r="B101" s="6">
        <v>44944</v>
      </c>
      <c r="C101" s="6" t="s">
        <v>180</v>
      </c>
      <c r="D101" s="6" t="s">
        <v>188</v>
      </c>
      <c r="E101" s="6" t="s">
        <v>279</v>
      </c>
      <c r="F101" s="6" t="s">
        <v>427</v>
      </c>
      <c r="G101" s="6" t="s">
        <v>179</v>
      </c>
      <c r="H101" s="4" t="s">
        <v>436</v>
      </c>
    </row>
    <row r="102" spans="1:8" s="23" customFormat="1" ht="20" customHeight="1" x14ac:dyDescent="0.35">
      <c r="A102" s="1"/>
      <c r="B102" s="6">
        <v>44944</v>
      </c>
      <c r="C102" s="6" t="s">
        <v>180</v>
      </c>
      <c r="D102" s="6" t="s">
        <v>188</v>
      </c>
      <c r="E102" s="6" t="s">
        <v>280</v>
      </c>
      <c r="F102" s="6" t="s">
        <v>427</v>
      </c>
      <c r="G102" s="6" t="s">
        <v>179</v>
      </c>
      <c r="H102" s="4" t="s">
        <v>437</v>
      </c>
    </row>
    <row r="103" spans="1:8" s="23" customFormat="1" ht="20" customHeight="1" x14ac:dyDescent="0.35">
      <c r="A103" s="1"/>
      <c r="B103" s="6">
        <v>44944</v>
      </c>
      <c r="C103" s="6" t="s">
        <v>180</v>
      </c>
      <c r="D103" s="6" t="s">
        <v>188</v>
      </c>
      <c r="E103" s="6" t="s">
        <v>194</v>
      </c>
      <c r="F103" s="6" t="s">
        <v>427</v>
      </c>
      <c r="G103" s="6" t="s">
        <v>179</v>
      </c>
      <c r="H103" s="4" t="s">
        <v>438</v>
      </c>
    </row>
    <row r="104" spans="1:8" s="23" customFormat="1" ht="20" customHeight="1" x14ac:dyDescent="0.35">
      <c r="A104" s="1"/>
      <c r="B104" s="6">
        <v>44944</v>
      </c>
      <c r="C104" s="6" t="s">
        <v>180</v>
      </c>
      <c r="D104" s="6" t="s">
        <v>188</v>
      </c>
      <c r="E104" s="6" t="s">
        <v>248</v>
      </c>
      <c r="F104" s="6" t="s">
        <v>427</v>
      </c>
      <c r="G104" s="6" t="s">
        <v>179</v>
      </c>
      <c r="H104" s="4" t="s">
        <v>439</v>
      </c>
    </row>
    <row r="105" spans="1:8" s="23" customFormat="1" ht="20" customHeight="1" x14ac:dyDescent="0.35">
      <c r="A105" s="1"/>
      <c r="B105" s="6">
        <v>44944</v>
      </c>
      <c r="C105" s="6" t="s">
        <v>180</v>
      </c>
      <c r="D105" s="6" t="s">
        <v>286</v>
      </c>
      <c r="E105" s="6" t="s">
        <v>196</v>
      </c>
      <c r="F105" s="6" t="s">
        <v>303</v>
      </c>
      <c r="G105" s="6" t="s">
        <v>197</v>
      </c>
      <c r="H105" s="4">
        <v>-1064.42</v>
      </c>
    </row>
    <row r="106" spans="1:8" s="23" customFormat="1" ht="20" customHeight="1" x14ac:dyDescent="0.35">
      <c r="A106" s="1"/>
      <c r="B106" s="6">
        <v>44945</v>
      </c>
      <c r="C106" s="6" t="s">
        <v>180</v>
      </c>
      <c r="D106" s="6" t="s">
        <v>188</v>
      </c>
      <c r="E106" s="6" t="s">
        <v>196</v>
      </c>
      <c r="F106" s="6" t="s">
        <v>440</v>
      </c>
      <c r="G106" s="6" t="s">
        <v>197</v>
      </c>
      <c r="H106" s="4">
        <v>-910.05</v>
      </c>
    </row>
    <row r="107" spans="1:8" s="23" customFormat="1" ht="20" customHeight="1" x14ac:dyDescent="0.35">
      <c r="A107" s="1"/>
      <c r="B107" s="6">
        <v>44945</v>
      </c>
      <c r="C107" s="6" t="s">
        <v>180</v>
      </c>
      <c r="D107" s="6">
        <v>3591</v>
      </c>
      <c r="E107" s="6" t="s">
        <v>441</v>
      </c>
      <c r="F107" s="6" t="s">
        <v>442</v>
      </c>
      <c r="G107" s="6" t="s">
        <v>246</v>
      </c>
      <c r="H107" s="4">
        <v>-2213.64</v>
      </c>
    </row>
    <row r="108" spans="1:8" s="23" customFormat="1" ht="20" customHeight="1" x14ac:dyDescent="0.3">
      <c r="A108" s="45"/>
      <c r="B108" s="44">
        <v>44945</v>
      </c>
      <c r="C108" s="44" t="s">
        <v>180</v>
      </c>
      <c r="D108" s="44">
        <v>3592</v>
      </c>
      <c r="E108" s="44" t="s">
        <v>304</v>
      </c>
      <c r="F108" s="6" t="s">
        <v>287</v>
      </c>
      <c r="G108" s="44" t="s">
        <v>203</v>
      </c>
      <c r="H108" s="43">
        <v>-39.15</v>
      </c>
    </row>
    <row r="109" spans="1:8" s="23" customFormat="1" ht="20" customHeight="1" x14ac:dyDescent="0.3">
      <c r="A109" s="45"/>
      <c r="B109" s="44"/>
      <c r="C109" s="44"/>
      <c r="D109" s="44"/>
      <c r="E109" s="44"/>
      <c r="F109" s="6" t="s">
        <v>443</v>
      </c>
      <c r="G109" s="44"/>
      <c r="H109" s="43"/>
    </row>
    <row r="110" spans="1:8" s="23" customFormat="1" ht="20" customHeight="1" x14ac:dyDescent="0.35">
      <c r="A110" s="1"/>
      <c r="B110" s="6">
        <v>44945</v>
      </c>
      <c r="C110" s="6" t="s">
        <v>180</v>
      </c>
      <c r="D110" s="6">
        <v>3593</v>
      </c>
      <c r="E110" s="6" t="s">
        <v>182</v>
      </c>
      <c r="F110" s="6" t="s">
        <v>444</v>
      </c>
      <c r="G110" s="6" t="s">
        <v>445</v>
      </c>
      <c r="H110" s="4">
        <v>-151.47999999999999</v>
      </c>
    </row>
    <row r="111" spans="1:8" s="23" customFormat="1" ht="20" customHeight="1" x14ac:dyDescent="0.35">
      <c r="A111" s="1"/>
      <c r="B111" s="6">
        <v>44945</v>
      </c>
      <c r="C111" s="6" t="s">
        <v>180</v>
      </c>
      <c r="D111" s="6">
        <v>3594</v>
      </c>
      <c r="E111" s="6" t="s">
        <v>446</v>
      </c>
      <c r="F111" s="6" t="s">
        <v>447</v>
      </c>
      <c r="G111" s="6" t="s">
        <v>181</v>
      </c>
      <c r="H111" s="4">
        <v>-169.86</v>
      </c>
    </row>
    <row r="112" spans="1:8" s="23" customFormat="1" ht="20" customHeight="1" x14ac:dyDescent="0.35">
      <c r="A112" s="1"/>
      <c r="B112" s="6">
        <v>44945</v>
      </c>
      <c r="C112" s="6" t="s">
        <v>180</v>
      </c>
      <c r="D112" s="6">
        <v>3595</v>
      </c>
      <c r="E112" s="6" t="s">
        <v>448</v>
      </c>
      <c r="F112" s="6" t="s">
        <v>449</v>
      </c>
      <c r="G112" s="6" t="s">
        <v>450</v>
      </c>
      <c r="H112" s="4">
        <v>-172.47</v>
      </c>
    </row>
    <row r="113" spans="1:8" s="23" customFormat="1" ht="20" customHeight="1" x14ac:dyDescent="0.35">
      <c r="A113" s="1"/>
      <c r="B113" s="6">
        <v>44945</v>
      </c>
      <c r="C113" s="6" t="s">
        <v>180</v>
      </c>
      <c r="D113" s="6">
        <v>3596</v>
      </c>
      <c r="E113" s="6" t="s">
        <v>187</v>
      </c>
      <c r="F113" s="6" t="s">
        <v>451</v>
      </c>
      <c r="G113" s="6" t="s">
        <v>181</v>
      </c>
      <c r="H113" s="4">
        <v>-177.39</v>
      </c>
    </row>
    <row r="114" spans="1:8" s="23" customFormat="1" ht="20" customHeight="1" x14ac:dyDescent="0.35">
      <c r="A114" s="1"/>
      <c r="B114" s="6">
        <v>44945</v>
      </c>
      <c r="C114" s="6" t="s">
        <v>178</v>
      </c>
      <c r="D114" s="6"/>
      <c r="E114" s="6"/>
      <c r="F114" s="6" t="s">
        <v>452</v>
      </c>
      <c r="G114" s="6" t="s">
        <v>179</v>
      </c>
      <c r="H114" s="4" t="s">
        <v>453</v>
      </c>
    </row>
    <row r="115" spans="1:8" s="23" customFormat="1" ht="20" customHeight="1" x14ac:dyDescent="0.3">
      <c r="A115" s="45"/>
      <c r="B115" s="44">
        <v>44945</v>
      </c>
      <c r="C115" s="44" t="s">
        <v>178</v>
      </c>
      <c r="D115" s="44"/>
      <c r="E115" s="44"/>
      <c r="F115" s="6" t="s">
        <v>454</v>
      </c>
      <c r="G115" s="44" t="s">
        <v>371</v>
      </c>
      <c r="H115" s="43">
        <v>1441.53</v>
      </c>
    </row>
    <row r="116" spans="1:8" s="23" customFormat="1" ht="20" customHeight="1" x14ac:dyDescent="0.3">
      <c r="A116" s="45"/>
      <c r="B116" s="44"/>
      <c r="C116" s="44"/>
      <c r="D116" s="44"/>
      <c r="E116" s="44"/>
      <c r="F116" s="6" t="s">
        <v>295</v>
      </c>
      <c r="G116" s="44"/>
      <c r="H116" s="43"/>
    </row>
    <row r="117" spans="1:8" s="23" customFormat="1" ht="20" customHeight="1" x14ac:dyDescent="0.3">
      <c r="A117" s="45"/>
      <c r="B117" s="44">
        <v>44945</v>
      </c>
      <c r="C117" s="44" t="s">
        <v>178</v>
      </c>
      <c r="D117" s="44"/>
      <c r="E117" s="44"/>
      <c r="F117" s="6" t="s">
        <v>455</v>
      </c>
      <c r="G117" s="44" t="s">
        <v>371</v>
      </c>
      <c r="H117" s="43">
        <v>2552.9299999999998</v>
      </c>
    </row>
    <row r="118" spans="1:8" s="23" customFormat="1" ht="20" customHeight="1" x14ac:dyDescent="0.3">
      <c r="A118" s="45"/>
      <c r="B118" s="44"/>
      <c r="C118" s="44"/>
      <c r="D118" s="44"/>
      <c r="E118" s="44"/>
      <c r="F118" s="6" t="s">
        <v>295</v>
      </c>
      <c r="G118" s="44"/>
      <c r="H118" s="43"/>
    </row>
    <row r="119" spans="1:8" s="23" customFormat="1" ht="20" customHeight="1" x14ac:dyDescent="0.35">
      <c r="A119" s="1"/>
      <c r="B119" s="6">
        <v>44949</v>
      </c>
      <c r="C119" s="6" t="s">
        <v>178</v>
      </c>
      <c r="D119" s="6"/>
      <c r="E119" s="6"/>
      <c r="F119" s="6" t="s">
        <v>456</v>
      </c>
      <c r="G119" s="6" t="s">
        <v>179</v>
      </c>
      <c r="H119" s="4" t="s">
        <v>457</v>
      </c>
    </row>
    <row r="120" spans="1:8" s="23" customFormat="1" ht="20" customHeight="1" x14ac:dyDescent="0.3">
      <c r="A120" s="45"/>
      <c r="B120" s="44">
        <v>44949</v>
      </c>
      <c r="C120" s="44" t="s">
        <v>178</v>
      </c>
      <c r="D120" s="44"/>
      <c r="E120" s="44"/>
      <c r="F120" s="6" t="s">
        <v>458</v>
      </c>
      <c r="G120" s="44" t="s">
        <v>371</v>
      </c>
      <c r="H120" s="43">
        <v>824.36</v>
      </c>
    </row>
    <row r="121" spans="1:8" s="23" customFormat="1" ht="20" customHeight="1" x14ac:dyDescent="0.3">
      <c r="A121" s="45"/>
      <c r="B121" s="44"/>
      <c r="C121" s="44"/>
      <c r="D121" s="44"/>
      <c r="E121" s="44"/>
      <c r="F121" s="6" t="s">
        <v>295</v>
      </c>
      <c r="G121" s="44"/>
      <c r="H121" s="43"/>
    </row>
    <row r="122" spans="1:8" s="23" customFormat="1" ht="20" customHeight="1" x14ac:dyDescent="0.35">
      <c r="A122" s="1"/>
      <c r="B122" s="6">
        <v>44949</v>
      </c>
      <c r="C122" s="6" t="s">
        <v>459</v>
      </c>
      <c r="D122" s="6">
        <v>99</v>
      </c>
      <c r="E122" s="6" t="s">
        <v>460</v>
      </c>
      <c r="F122" s="6"/>
      <c r="G122" s="6" t="s">
        <v>461</v>
      </c>
      <c r="H122" s="4">
        <v>500</v>
      </c>
    </row>
    <row r="123" spans="1:8" s="23" customFormat="1" ht="20" customHeight="1" x14ac:dyDescent="0.35">
      <c r="A123" s="1"/>
      <c r="B123" s="6">
        <v>44950</v>
      </c>
      <c r="C123" s="6" t="s">
        <v>178</v>
      </c>
      <c r="D123" s="6"/>
      <c r="E123" s="6"/>
      <c r="F123" s="6"/>
      <c r="G123" s="6" t="s">
        <v>179</v>
      </c>
      <c r="H123" s="4" t="s">
        <v>462</v>
      </c>
    </row>
    <row r="124" spans="1:8" s="23" customFormat="1" ht="20" customHeight="1" x14ac:dyDescent="0.3">
      <c r="A124" s="45"/>
      <c r="B124" s="44">
        <v>44951</v>
      </c>
      <c r="C124" s="44" t="s">
        <v>178</v>
      </c>
      <c r="D124" s="44"/>
      <c r="E124" s="44"/>
      <c r="F124" s="6" t="s">
        <v>463</v>
      </c>
      <c r="G124" s="44" t="s">
        <v>179</v>
      </c>
      <c r="H124" s="43" t="s">
        <v>465</v>
      </c>
    </row>
    <row r="125" spans="1:8" s="23" customFormat="1" ht="20" customHeight="1" x14ac:dyDescent="0.3">
      <c r="A125" s="45"/>
      <c r="B125" s="44"/>
      <c r="C125" s="44"/>
      <c r="D125" s="44"/>
      <c r="E125" s="44"/>
      <c r="F125" s="6" t="s">
        <v>464</v>
      </c>
      <c r="G125" s="44"/>
      <c r="H125" s="43"/>
    </row>
    <row r="126" spans="1:8" s="23" customFormat="1" ht="20" customHeight="1" x14ac:dyDescent="0.35">
      <c r="A126" s="1"/>
      <c r="B126" s="6">
        <v>44951</v>
      </c>
      <c r="C126" s="6" t="s">
        <v>180</v>
      </c>
      <c r="D126" s="6">
        <v>3597</v>
      </c>
      <c r="E126" s="6" t="s">
        <v>466</v>
      </c>
      <c r="F126" s="6" t="s">
        <v>467</v>
      </c>
      <c r="G126" s="6" t="s">
        <v>397</v>
      </c>
      <c r="H126" s="4">
        <v>-570.04</v>
      </c>
    </row>
    <row r="127" spans="1:8" s="23" customFormat="1" ht="20" customHeight="1" x14ac:dyDescent="0.35">
      <c r="A127" s="1"/>
      <c r="B127" s="6">
        <v>44951</v>
      </c>
      <c r="C127" s="6" t="s">
        <v>180</v>
      </c>
      <c r="D127" s="6">
        <v>3598</v>
      </c>
      <c r="E127" s="6" t="s">
        <v>468</v>
      </c>
      <c r="F127" s="6" t="s">
        <v>469</v>
      </c>
      <c r="G127" s="6" t="s">
        <v>307</v>
      </c>
      <c r="H127" s="4">
        <v>-1130.8699999999999</v>
      </c>
    </row>
    <row r="128" spans="1:8" s="23" customFormat="1" ht="20" customHeight="1" x14ac:dyDescent="0.35">
      <c r="A128" s="1"/>
      <c r="B128" s="6">
        <v>44951</v>
      </c>
      <c r="C128" s="6" t="s">
        <v>180</v>
      </c>
      <c r="D128" s="6">
        <v>3599</v>
      </c>
      <c r="E128" s="6" t="s">
        <v>470</v>
      </c>
      <c r="F128" s="6" t="s">
        <v>469</v>
      </c>
      <c r="G128" s="6" t="s">
        <v>361</v>
      </c>
      <c r="H128" s="4">
        <v>-895.49</v>
      </c>
    </row>
    <row r="129" spans="1:8" s="23" customFormat="1" ht="20" customHeight="1" x14ac:dyDescent="0.35">
      <c r="A129" s="1"/>
      <c r="B129" s="6">
        <v>44951</v>
      </c>
      <c r="C129" s="6" t="s">
        <v>180</v>
      </c>
      <c r="D129" s="6">
        <v>3600</v>
      </c>
      <c r="E129" s="6" t="s">
        <v>471</v>
      </c>
      <c r="F129" s="6" t="s">
        <v>306</v>
      </c>
      <c r="G129" s="6" t="s">
        <v>307</v>
      </c>
      <c r="H129" s="4">
        <v>-91.99</v>
      </c>
    </row>
    <row r="130" spans="1:8" s="23" customFormat="1" ht="20" customHeight="1" x14ac:dyDescent="0.35">
      <c r="A130" s="1"/>
      <c r="B130" s="6">
        <v>44951</v>
      </c>
      <c r="C130" s="6" t="s">
        <v>180</v>
      </c>
      <c r="D130" s="6">
        <v>3601</v>
      </c>
      <c r="E130" s="6" t="s">
        <v>472</v>
      </c>
      <c r="F130" s="6" t="s">
        <v>473</v>
      </c>
      <c r="G130" s="6" t="s">
        <v>307</v>
      </c>
      <c r="H130" s="4">
        <v>-20</v>
      </c>
    </row>
    <row r="131" spans="1:8" s="23" customFormat="1" ht="20" customHeight="1" x14ac:dyDescent="0.35">
      <c r="A131" s="1"/>
      <c r="B131" s="6">
        <v>44951</v>
      </c>
      <c r="C131" s="6" t="s">
        <v>180</v>
      </c>
      <c r="D131" s="6">
        <v>3602</v>
      </c>
      <c r="E131" s="6" t="s">
        <v>474</v>
      </c>
      <c r="F131" s="6" t="s">
        <v>475</v>
      </c>
      <c r="G131" s="6" t="s">
        <v>361</v>
      </c>
      <c r="H131" s="4">
        <v>-10</v>
      </c>
    </row>
    <row r="132" spans="1:8" s="23" customFormat="1" ht="20" customHeight="1" x14ac:dyDescent="0.35">
      <c r="A132" s="1"/>
      <c r="B132" s="6">
        <v>44951</v>
      </c>
      <c r="C132" s="6" t="s">
        <v>180</v>
      </c>
      <c r="D132" s="6">
        <v>3603</v>
      </c>
      <c r="E132" s="6" t="s">
        <v>476</v>
      </c>
      <c r="F132" s="6" t="s">
        <v>475</v>
      </c>
      <c r="G132" s="6" t="s">
        <v>361</v>
      </c>
      <c r="H132" s="4">
        <v>-110.37</v>
      </c>
    </row>
    <row r="133" spans="1:8" s="23" customFormat="1" ht="20" customHeight="1" x14ac:dyDescent="0.35">
      <c r="A133" s="1"/>
      <c r="B133" s="6">
        <v>44951</v>
      </c>
      <c r="C133" s="6" t="s">
        <v>180</v>
      </c>
      <c r="D133" s="6">
        <v>3604</v>
      </c>
      <c r="E133" s="6" t="s">
        <v>477</v>
      </c>
      <c r="F133" s="6" t="s">
        <v>467</v>
      </c>
      <c r="G133" s="6" t="s">
        <v>361</v>
      </c>
      <c r="H133" s="4">
        <v>-8.1300000000000008</v>
      </c>
    </row>
    <row r="134" spans="1:8" ht="15.75" customHeight="1" x14ac:dyDescent="0.35">
      <c r="A134" s="1"/>
      <c r="B134" s="6">
        <v>44951</v>
      </c>
      <c r="C134" s="6" t="s">
        <v>180</v>
      </c>
      <c r="D134" s="6">
        <v>3605</v>
      </c>
      <c r="E134" s="6" t="s">
        <v>478</v>
      </c>
      <c r="F134" s="6" t="s">
        <v>467</v>
      </c>
      <c r="G134" s="6" t="s">
        <v>361</v>
      </c>
      <c r="H134" s="4">
        <v>-182.82</v>
      </c>
    </row>
    <row r="135" spans="1:8" ht="15.75" customHeight="1" x14ac:dyDescent="0.35">
      <c r="A135" s="1"/>
      <c r="B135" s="6">
        <v>44951</v>
      </c>
      <c r="C135" s="6" t="s">
        <v>180</v>
      </c>
      <c r="D135" s="6" t="s">
        <v>188</v>
      </c>
      <c r="E135" s="6" t="s">
        <v>196</v>
      </c>
      <c r="F135" s="6" t="s">
        <v>479</v>
      </c>
      <c r="G135" s="6" t="s">
        <v>197</v>
      </c>
      <c r="H135" s="4">
        <v>-3143.47</v>
      </c>
    </row>
    <row r="136" spans="1:8" ht="15.75" customHeight="1" x14ac:dyDescent="0.35">
      <c r="A136" s="1"/>
      <c r="B136" s="6">
        <v>44952</v>
      </c>
      <c r="C136" s="6" t="s">
        <v>180</v>
      </c>
      <c r="D136" s="6">
        <v>3606</v>
      </c>
      <c r="E136" s="6" t="s">
        <v>480</v>
      </c>
      <c r="F136" s="6" t="s">
        <v>481</v>
      </c>
      <c r="G136" s="6" t="s">
        <v>245</v>
      </c>
      <c r="H136" s="4">
        <v>-250</v>
      </c>
    </row>
    <row r="137" spans="1:8" ht="15.75" customHeight="1" x14ac:dyDescent="0.35">
      <c r="A137" s="1"/>
      <c r="B137" s="6">
        <v>44952</v>
      </c>
      <c r="C137" s="6" t="s">
        <v>180</v>
      </c>
      <c r="D137" s="6">
        <v>3607</v>
      </c>
      <c r="E137" s="6" t="s">
        <v>299</v>
      </c>
      <c r="F137" s="6" t="s">
        <v>482</v>
      </c>
      <c r="G137" s="6" t="s">
        <v>357</v>
      </c>
      <c r="H137" s="4">
        <v>-106</v>
      </c>
    </row>
    <row r="138" spans="1:8" ht="15.75" customHeight="1" x14ac:dyDescent="0.35">
      <c r="A138" s="1"/>
      <c r="B138" s="6">
        <v>44952</v>
      </c>
      <c r="C138" s="6" t="s">
        <v>180</v>
      </c>
      <c r="D138" s="6">
        <v>3608</v>
      </c>
      <c r="E138" s="6" t="s">
        <v>483</v>
      </c>
      <c r="F138" s="6" t="s">
        <v>484</v>
      </c>
      <c r="G138" s="6" t="s">
        <v>246</v>
      </c>
      <c r="H138" s="4">
        <v>0</v>
      </c>
    </row>
    <row r="139" spans="1:8" ht="15.75" customHeight="1" x14ac:dyDescent="0.3">
      <c r="A139" s="45"/>
      <c r="B139" s="44">
        <v>44952</v>
      </c>
      <c r="C139" s="44" t="s">
        <v>180</v>
      </c>
      <c r="D139" s="44">
        <v>3609</v>
      </c>
      <c r="E139" s="44" t="s">
        <v>485</v>
      </c>
      <c r="F139" s="6" t="s">
        <v>486</v>
      </c>
      <c r="G139" s="44" t="s">
        <v>246</v>
      </c>
      <c r="H139" s="43">
        <v>-1529.98</v>
      </c>
    </row>
    <row r="140" spans="1:8" ht="15.75" customHeight="1" x14ac:dyDescent="0.3">
      <c r="A140" s="45"/>
      <c r="B140" s="44"/>
      <c r="C140" s="44"/>
      <c r="D140" s="44"/>
      <c r="E140" s="44"/>
      <c r="F140" s="6" t="s">
        <v>487</v>
      </c>
      <c r="G140" s="44"/>
      <c r="H140" s="43"/>
    </row>
    <row r="141" spans="1:8" ht="15.75" customHeight="1" x14ac:dyDescent="0.35">
      <c r="A141" s="1"/>
      <c r="B141" s="6">
        <v>44952</v>
      </c>
      <c r="C141" s="6" t="s">
        <v>180</v>
      </c>
      <c r="D141" s="6">
        <v>3610</v>
      </c>
      <c r="E141" s="6" t="s">
        <v>488</v>
      </c>
      <c r="F141" s="6" t="s">
        <v>489</v>
      </c>
      <c r="G141" s="6" t="s">
        <v>288</v>
      </c>
      <c r="H141" s="4">
        <v>-125</v>
      </c>
    </row>
    <row r="142" spans="1:8" ht="15.75" customHeight="1" x14ac:dyDescent="0.35">
      <c r="A142" s="1"/>
      <c r="B142" s="6">
        <v>44952</v>
      </c>
      <c r="C142" s="6" t="s">
        <v>180</v>
      </c>
      <c r="D142" s="6">
        <v>3611</v>
      </c>
      <c r="E142" s="6" t="s">
        <v>296</v>
      </c>
      <c r="F142" s="6" t="s">
        <v>490</v>
      </c>
      <c r="G142" s="6" t="s">
        <v>297</v>
      </c>
      <c r="H142" s="4">
        <v>-310.39</v>
      </c>
    </row>
    <row r="143" spans="1:8" ht="15.75" customHeight="1" x14ac:dyDescent="0.35">
      <c r="A143" s="1"/>
      <c r="B143" s="6">
        <v>44952</v>
      </c>
      <c r="C143" s="6" t="s">
        <v>180</v>
      </c>
      <c r="D143" s="6">
        <v>3612</v>
      </c>
      <c r="E143" s="6" t="s">
        <v>183</v>
      </c>
      <c r="F143" s="6" t="s">
        <v>491</v>
      </c>
      <c r="G143" s="6" t="s">
        <v>184</v>
      </c>
      <c r="H143" s="4">
        <v>-855.97</v>
      </c>
    </row>
    <row r="144" spans="1:8" ht="15.75" customHeight="1" x14ac:dyDescent="0.35">
      <c r="A144" s="1"/>
      <c r="B144" s="6">
        <v>44952</v>
      </c>
      <c r="C144" s="6" t="s">
        <v>180</v>
      </c>
      <c r="D144" s="6">
        <v>3613</v>
      </c>
      <c r="E144" s="6" t="s">
        <v>492</v>
      </c>
      <c r="F144" s="6" t="s">
        <v>493</v>
      </c>
      <c r="G144" s="6" t="s">
        <v>445</v>
      </c>
      <c r="H144" s="4">
        <v>-57.03</v>
      </c>
    </row>
    <row r="145" spans="1:8" ht="15.75" customHeight="1" x14ac:dyDescent="0.35">
      <c r="A145" s="1"/>
      <c r="B145" s="6">
        <v>44952</v>
      </c>
      <c r="C145" s="6" t="s">
        <v>180</v>
      </c>
      <c r="D145" s="6">
        <v>3614</v>
      </c>
      <c r="E145" s="6" t="s">
        <v>235</v>
      </c>
      <c r="F145" s="6" t="s">
        <v>494</v>
      </c>
      <c r="G145" s="6" t="s">
        <v>445</v>
      </c>
      <c r="H145" s="4">
        <v>-30.35</v>
      </c>
    </row>
    <row r="146" spans="1:8" ht="15.75" customHeight="1" x14ac:dyDescent="0.35">
      <c r="A146" s="1"/>
      <c r="B146" s="6">
        <v>44952</v>
      </c>
      <c r="C146" s="6" t="s">
        <v>180</v>
      </c>
      <c r="D146" s="6">
        <v>3615</v>
      </c>
      <c r="E146" s="6" t="s">
        <v>278</v>
      </c>
      <c r="F146" s="6" t="s">
        <v>495</v>
      </c>
      <c r="G146" s="6" t="s">
        <v>179</v>
      </c>
      <c r="H146" s="4" t="s">
        <v>496</v>
      </c>
    </row>
    <row r="147" spans="1:8" ht="15.75" customHeight="1" x14ac:dyDescent="0.35">
      <c r="A147" s="1"/>
      <c r="B147" s="6">
        <v>44952</v>
      </c>
      <c r="C147" s="6" t="s">
        <v>180</v>
      </c>
      <c r="D147" s="6">
        <v>3616</v>
      </c>
      <c r="E147" s="6" t="s">
        <v>187</v>
      </c>
      <c r="F147" s="6" t="s">
        <v>497</v>
      </c>
      <c r="G147" s="6" t="s">
        <v>179</v>
      </c>
      <c r="H147" s="4" t="s">
        <v>498</v>
      </c>
    </row>
    <row r="148" spans="1:8" ht="15.75" customHeight="1" x14ac:dyDescent="0.35">
      <c r="A148" s="1"/>
      <c r="B148" s="6">
        <v>44952</v>
      </c>
      <c r="C148" s="6" t="s">
        <v>178</v>
      </c>
      <c r="D148" s="6"/>
      <c r="E148" s="6"/>
      <c r="F148" s="6" t="s">
        <v>499</v>
      </c>
      <c r="G148" s="6" t="s">
        <v>179</v>
      </c>
      <c r="H148" s="4" t="s">
        <v>500</v>
      </c>
    </row>
    <row r="149" spans="1:8" ht="15.75" customHeight="1" x14ac:dyDescent="0.3">
      <c r="A149" s="45"/>
      <c r="B149" s="44">
        <v>44952</v>
      </c>
      <c r="C149" s="44" t="s">
        <v>178</v>
      </c>
      <c r="D149" s="44"/>
      <c r="E149" s="44"/>
      <c r="F149" s="6" t="s">
        <v>501</v>
      </c>
      <c r="G149" s="44" t="s">
        <v>371</v>
      </c>
      <c r="H149" s="43">
        <v>9291.19</v>
      </c>
    </row>
    <row r="150" spans="1:8" ht="15.75" customHeight="1" x14ac:dyDescent="0.3">
      <c r="A150" s="45"/>
      <c r="B150" s="44"/>
      <c r="C150" s="44"/>
      <c r="D150" s="44"/>
      <c r="E150" s="44"/>
      <c r="F150" s="6" t="s">
        <v>333</v>
      </c>
      <c r="G150" s="44"/>
      <c r="H150" s="43"/>
    </row>
    <row r="151" spans="1:8" ht="15.75" customHeight="1" x14ac:dyDescent="0.3">
      <c r="A151" s="45"/>
      <c r="B151" s="44">
        <v>44952</v>
      </c>
      <c r="C151" s="44" t="s">
        <v>178</v>
      </c>
      <c r="D151" s="44"/>
      <c r="E151" s="44"/>
      <c r="F151" s="6" t="s">
        <v>502</v>
      </c>
      <c r="G151" s="44" t="s">
        <v>179</v>
      </c>
      <c r="H151" s="43" t="s">
        <v>503</v>
      </c>
    </row>
    <row r="152" spans="1:8" ht="15.75" customHeight="1" x14ac:dyDescent="0.3">
      <c r="A152" s="45"/>
      <c r="B152" s="44"/>
      <c r="C152" s="44"/>
      <c r="D152" s="44"/>
      <c r="E152" s="44"/>
      <c r="F152" s="6" t="s">
        <v>295</v>
      </c>
      <c r="G152" s="44"/>
      <c r="H152" s="43"/>
    </row>
    <row r="153" spans="1:8" ht="15.75" customHeight="1" x14ac:dyDescent="0.3">
      <c r="A153" s="45"/>
      <c r="B153" s="44">
        <v>44952</v>
      </c>
      <c r="C153" s="44" t="s">
        <v>178</v>
      </c>
      <c r="D153" s="44"/>
      <c r="E153" s="44"/>
      <c r="F153" s="6" t="s">
        <v>504</v>
      </c>
      <c r="G153" s="44" t="s">
        <v>371</v>
      </c>
      <c r="H153" s="43">
        <v>693.21</v>
      </c>
    </row>
    <row r="154" spans="1:8" ht="15.75" customHeight="1" x14ac:dyDescent="0.3">
      <c r="A154" s="45"/>
      <c r="B154" s="44"/>
      <c r="C154" s="44"/>
      <c r="D154" s="44"/>
      <c r="E154" s="44"/>
      <c r="F154" s="6" t="s">
        <v>295</v>
      </c>
      <c r="G154" s="44"/>
      <c r="H154" s="43"/>
    </row>
    <row r="155" spans="1:8" ht="15.75" customHeight="1" x14ac:dyDescent="0.3">
      <c r="A155" s="45"/>
      <c r="B155" s="44">
        <v>44952</v>
      </c>
      <c r="C155" s="44" t="s">
        <v>178</v>
      </c>
      <c r="D155" s="44"/>
      <c r="E155" s="44"/>
      <c r="F155" s="6" t="s">
        <v>505</v>
      </c>
      <c r="G155" s="44" t="s">
        <v>371</v>
      </c>
      <c r="H155" s="43">
        <v>3794.21</v>
      </c>
    </row>
    <row r="156" spans="1:8" ht="15.75" customHeight="1" x14ac:dyDescent="0.3">
      <c r="A156" s="45"/>
      <c r="B156" s="44"/>
      <c r="C156" s="44"/>
      <c r="D156" s="44"/>
      <c r="E156" s="44"/>
      <c r="F156" s="6" t="s">
        <v>295</v>
      </c>
      <c r="G156" s="44"/>
      <c r="H156" s="43"/>
    </row>
    <row r="157" spans="1:8" ht="15.75" customHeight="1" x14ac:dyDescent="0.35">
      <c r="A157" s="1"/>
      <c r="B157" s="6">
        <v>44953</v>
      </c>
      <c r="C157" s="6" t="s">
        <v>178</v>
      </c>
      <c r="D157" s="6"/>
      <c r="E157" s="6"/>
      <c r="F157" s="6" t="s">
        <v>506</v>
      </c>
      <c r="G157" s="6" t="s">
        <v>507</v>
      </c>
      <c r="H157" s="4">
        <v>8242.77</v>
      </c>
    </row>
    <row r="158" spans="1:8" ht="15.75" customHeight="1" x14ac:dyDescent="0.35">
      <c r="A158" s="1"/>
      <c r="B158" s="6">
        <v>44957</v>
      </c>
      <c r="C158" s="6" t="s">
        <v>178</v>
      </c>
      <c r="D158" s="6"/>
      <c r="E158" s="6"/>
      <c r="F158" s="6" t="s">
        <v>508</v>
      </c>
      <c r="G158" s="6" t="s">
        <v>179</v>
      </c>
      <c r="H158" s="4" t="s">
        <v>509</v>
      </c>
    </row>
    <row r="159" spans="1:8" ht="15.75" customHeight="1" x14ac:dyDescent="0.3">
      <c r="A159" s="45"/>
      <c r="B159" s="44">
        <v>44957</v>
      </c>
      <c r="C159" s="44" t="s">
        <v>178</v>
      </c>
      <c r="D159" s="44"/>
      <c r="E159" s="44"/>
      <c r="F159" s="6" t="s">
        <v>510</v>
      </c>
      <c r="G159" s="44" t="s">
        <v>371</v>
      </c>
      <c r="H159" s="43">
        <v>5812.88</v>
      </c>
    </row>
    <row r="160" spans="1:8" ht="15.75" customHeight="1" x14ac:dyDescent="0.3">
      <c r="A160" s="45"/>
      <c r="B160" s="44"/>
      <c r="C160" s="44"/>
      <c r="D160" s="44"/>
      <c r="E160" s="44"/>
      <c r="F160" s="6" t="s">
        <v>295</v>
      </c>
      <c r="G160" s="44"/>
      <c r="H160" s="43"/>
    </row>
    <row r="161" spans="1:8" ht="15.75" customHeight="1" x14ac:dyDescent="0.35">
      <c r="A161" s="1"/>
      <c r="B161" s="6">
        <v>44957</v>
      </c>
      <c r="C161" s="6" t="s">
        <v>178</v>
      </c>
      <c r="D161" s="6"/>
      <c r="E161" s="6"/>
      <c r="F161" s="6" t="s">
        <v>511</v>
      </c>
      <c r="G161" s="6" t="s">
        <v>179</v>
      </c>
      <c r="H161" s="4" t="s">
        <v>512</v>
      </c>
    </row>
    <row r="162" spans="1:8" ht="15.75" customHeight="1" x14ac:dyDescent="0.3">
      <c r="A162" s="45"/>
      <c r="B162" s="44">
        <v>44957</v>
      </c>
      <c r="C162" s="44" t="s">
        <v>178</v>
      </c>
      <c r="D162" s="44"/>
      <c r="E162" s="44"/>
      <c r="F162" s="6" t="s">
        <v>513</v>
      </c>
      <c r="G162" s="44" t="s">
        <v>371</v>
      </c>
      <c r="H162" s="43">
        <v>3481.99</v>
      </c>
    </row>
    <row r="163" spans="1:8" ht="15.75" customHeight="1" x14ac:dyDescent="0.3">
      <c r="A163" s="45"/>
      <c r="B163" s="44"/>
      <c r="C163" s="44"/>
      <c r="D163" s="44"/>
      <c r="E163" s="44"/>
      <c r="F163" s="6" t="s">
        <v>295</v>
      </c>
      <c r="G163" s="44"/>
      <c r="H163" s="43"/>
    </row>
    <row r="164" spans="1:8" ht="15.75" customHeight="1" x14ac:dyDescent="0.3">
      <c r="A164" s="45"/>
      <c r="B164" s="44">
        <v>44957</v>
      </c>
      <c r="C164" s="44" t="s">
        <v>178</v>
      </c>
      <c r="D164" s="44"/>
      <c r="E164" s="44"/>
      <c r="F164" s="6" t="s">
        <v>514</v>
      </c>
      <c r="G164" s="44" t="s">
        <v>179</v>
      </c>
      <c r="H164" s="43" t="s">
        <v>515</v>
      </c>
    </row>
    <row r="165" spans="1:8" ht="15.75" customHeight="1" x14ac:dyDescent="0.3">
      <c r="A165" s="45"/>
      <c r="B165" s="44"/>
      <c r="C165" s="44"/>
      <c r="D165" s="44"/>
      <c r="E165" s="44"/>
      <c r="F165" s="6" t="s">
        <v>295</v>
      </c>
      <c r="G165" s="44"/>
      <c r="H165" s="43"/>
    </row>
    <row r="166" spans="1:8" ht="15.75" customHeight="1" x14ac:dyDescent="0.3">
      <c r="A166" s="45"/>
      <c r="B166" s="44">
        <v>44957</v>
      </c>
      <c r="C166" s="44" t="s">
        <v>178</v>
      </c>
      <c r="D166" s="44"/>
      <c r="E166" s="44"/>
      <c r="F166" s="6" t="s">
        <v>516</v>
      </c>
      <c r="G166" s="44" t="s">
        <v>371</v>
      </c>
      <c r="H166" s="43">
        <v>1435.89</v>
      </c>
    </row>
    <row r="167" spans="1:8" ht="15.75" customHeight="1" x14ac:dyDescent="0.3">
      <c r="A167" s="45"/>
      <c r="B167" s="44"/>
      <c r="C167" s="44"/>
      <c r="D167" s="44"/>
      <c r="E167" s="44"/>
      <c r="F167" s="6" t="s">
        <v>295</v>
      </c>
      <c r="G167" s="44"/>
      <c r="H167" s="43"/>
    </row>
    <row r="168" spans="1:8" ht="15.75" customHeight="1" x14ac:dyDescent="0.3">
      <c r="A168" s="45"/>
      <c r="B168" s="44">
        <v>44957</v>
      </c>
      <c r="C168" s="44" t="s">
        <v>178</v>
      </c>
      <c r="D168" s="44"/>
      <c r="E168" s="44"/>
      <c r="F168" s="6" t="s">
        <v>517</v>
      </c>
      <c r="G168" s="44" t="s">
        <v>179</v>
      </c>
      <c r="H168" s="43" t="s">
        <v>518</v>
      </c>
    </row>
    <row r="169" spans="1:8" ht="15.75" customHeight="1" x14ac:dyDescent="0.3">
      <c r="A169" s="45"/>
      <c r="B169" s="44"/>
      <c r="C169" s="44"/>
      <c r="D169" s="44"/>
      <c r="E169" s="44"/>
      <c r="F169" s="6" t="s">
        <v>295</v>
      </c>
      <c r="G169" s="44"/>
      <c r="H169" s="43"/>
    </row>
    <row r="170" spans="1:8" ht="15.75" customHeight="1" x14ac:dyDescent="0.35">
      <c r="A170" s="1"/>
      <c r="B170" s="6">
        <v>44957</v>
      </c>
      <c r="C170" s="6" t="s">
        <v>178</v>
      </c>
      <c r="D170" s="6" t="s">
        <v>204</v>
      </c>
      <c r="E170" s="6"/>
      <c r="F170" s="6" t="s">
        <v>205</v>
      </c>
      <c r="G170" s="6" t="s">
        <v>206</v>
      </c>
      <c r="H170" s="4">
        <v>4866.67</v>
      </c>
    </row>
    <row r="171" spans="1:8" ht="15.75" customHeight="1" x14ac:dyDescent="0.35">
      <c r="A171" s="1"/>
      <c r="B171" s="6">
        <v>44957</v>
      </c>
      <c r="C171" s="6" t="s">
        <v>178</v>
      </c>
      <c r="D171" s="6" t="s">
        <v>204</v>
      </c>
      <c r="E171" s="6"/>
      <c r="F171" s="6" t="s">
        <v>205</v>
      </c>
      <c r="G171" s="6" t="s">
        <v>206</v>
      </c>
      <c r="H171" s="4">
        <v>1466.88</v>
      </c>
    </row>
    <row r="172" spans="1:8" ht="15.75" customHeight="1" x14ac:dyDescent="0.35">
      <c r="A172" s="1"/>
      <c r="B172" s="6">
        <v>44957</v>
      </c>
      <c r="C172" s="6" t="s">
        <v>178</v>
      </c>
      <c r="D172" s="6" t="s">
        <v>204</v>
      </c>
      <c r="E172" s="6"/>
      <c r="F172" s="6" t="s">
        <v>205</v>
      </c>
      <c r="G172" s="6" t="s">
        <v>206</v>
      </c>
      <c r="H172" s="4">
        <v>1638.88</v>
      </c>
    </row>
    <row r="173" spans="1:8" ht="15.75" customHeight="1" x14ac:dyDescent="0.3">
      <c r="A173" s="45"/>
      <c r="B173" s="44">
        <v>44957</v>
      </c>
      <c r="C173" s="44" t="s">
        <v>178</v>
      </c>
      <c r="D173" s="44"/>
      <c r="E173" s="44"/>
      <c r="F173" s="6" t="s">
        <v>519</v>
      </c>
      <c r="G173" s="44" t="s">
        <v>371</v>
      </c>
      <c r="H173" s="43">
        <v>1068.68</v>
      </c>
    </row>
    <row r="174" spans="1:8" ht="15.75" customHeight="1" x14ac:dyDescent="0.3">
      <c r="A174" s="45"/>
      <c r="B174" s="44"/>
      <c r="C174" s="44"/>
      <c r="D174" s="44"/>
      <c r="E174" s="44"/>
      <c r="F174" s="6" t="s">
        <v>424</v>
      </c>
      <c r="G174" s="44"/>
      <c r="H174" s="43"/>
    </row>
    <row r="175" spans="1:8" ht="15.75" customHeight="1" x14ac:dyDescent="0.3">
      <c r="A175" s="45"/>
      <c r="B175" s="44">
        <v>44957</v>
      </c>
      <c r="C175" s="44" t="s">
        <v>178</v>
      </c>
      <c r="D175" s="44"/>
      <c r="E175" s="44"/>
      <c r="F175" s="6" t="s">
        <v>520</v>
      </c>
      <c r="G175" s="44" t="s">
        <v>371</v>
      </c>
      <c r="H175" s="43">
        <v>5338.95</v>
      </c>
    </row>
    <row r="176" spans="1:8" ht="15.75" customHeight="1" x14ac:dyDescent="0.3">
      <c r="A176" s="45"/>
      <c r="B176" s="44"/>
      <c r="C176" s="44"/>
      <c r="D176" s="44"/>
      <c r="E176" s="44"/>
      <c r="F176" s="6" t="s">
        <v>295</v>
      </c>
      <c r="G176" s="44"/>
      <c r="H176" s="43"/>
    </row>
    <row r="177" spans="1:8" ht="15.75" customHeight="1" x14ac:dyDescent="0.3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35">
      <c r="B178" s="7"/>
    </row>
    <row r="179" spans="1:8" ht="15.75" customHeight="1" x14ac:dyDescent="0.35">
      <c r="B179" s="7"/>
    </row>
    <row r="180" spans="1:8" ht="15.75" customHeight="1" x14ac:dyDescent="0.35">
      <c r="B180" s="7"/>
    </row>
    <row r="181" spans="1:8" ht="15.75" customHeight="1" x14ac:dyDescent="0.35">
      <c r="B181" s="7"/>
    </row>
    <row r="182" spans="1:8" ht="15.75" customHeight="1" x14ac:dyDescent="0.35">
      <c r="B182" s="7"/>
    </row>
    <row r="183" spans="1:8" ht="15.75" customHeight="1" x14ac:dyDescent="0.35">
      <c r="B183" s="7"/>
    </row>
    <row r="184" spans="1:8" ht="15.75" customHeight="1" x14ac:dyDescent="0.35">
      <c r="B184" s="7"/>
    </row>
    <row r="185" spans="1:8" ht="15.75" customHeight="1" x14ac:dyDescent="0.35">
      <c r="B185" s="7"/>
    </row>
    <row r="186" spans="1:8" ht="15.75" customHeight="1" x14ac:dyDescent="0.35">
      <c r="B186" s="7"/>
    </row>
    <row r="187" spans="1:8" ht="15.75" customHeight="1" x14ac:dyDescent="0.35">
      <c r="B187" s="7"/>
    </row>
    <row r="188" spans="1:8" ht="15.75" customHeight="1" x14ac:dyDescent="0.35">
      <c r="B188" s="7"/>
    </row>
    <row r="189" spans="1:8" ht="15.75" customHeight="1" x14ac:dyDescent="0.35">
      <c r="B189" s="7"/>
    </row>
    <row r="190" spans="1:8" ht="15.75" customHeight="1" x14ac:dyDescent="0.35">
      <c r="B190" s="7"/>
    </row>
    <row r="191" spans="1:8" ht="15.75" customHeight="1" x14ac:dyDescent="0.35">
      <c r="B191" s="7"/>
    </row>
    <row r="192" spans="1:8" ht="15.75" customHeight="1" x14ac:dyDescent="0.35">
      <c r="B192" s="7"/>
    </row>
    <row r="193" spans="2:2" ht="15.75" customHeight="1" x14ac:dyDescent="0.35">
      <c r="B193" s="7"/>
    </row>
    <row r="194" spans="2:2" ht="15.75" customHeight="1" x14ac:dyDescent="0.35">
      <c r="B194" s="7"/>
    </row>
    <row r="195" spans="2:2" ht="15.75" customHeight="1" x14ac:dyDescent="0.35">
      <c r="B195" s="7"/>
    </row>
    <row r="196" spans="2:2" ht="15.75" customHeight="1" x14ac:dyDescent="0.35">
      <c r="B196" s="7"/>
    </row>
    <row r="197" spans="2:2" ht="15.75" customHeight="1" x14ac:dyDescent="0.35">
      <c r="B197" s="7"/>
    </row>
    <row r="198" spans="2:2" ht="15.75" customHeight="1" x14ac:dyDescent="0.35">
      <c r="B198" s="7"/>
    </row>
    <row r="199" spans="2:2" ht="15.75" customHeight="1" x14ac:dyDescent="0.35">
      <c r="B199" s="7"/>
    </row>
    <row r="200" spans="2:2" ht="15.75" customHeight="1" x14ac:dyDescent="0.35">
      <c r="B200" s="7"/>
    </row>
    <row r="201" spans="2:2" ht="15.75" customHeight="1" x14ac:dyDescent="0.35">
      <c r="B201" s="7"/>
    </row>
    <row r="202" spans="2:2" ht="15.75" customHeight="1" x14ac:dyDescent="0.35">
      <c r="B202" s="7"/>
    </row>
    <row r="203" spans="2:2" ht="15.75" customHeight="1" x14ac:dyDescent="0.35">
      <c r="B203" s="7"/>
    </row>
    <row r="204" spans="2:2" ht="15.75" customHeight="1" x14ac:dyDescent="0.35">
      <c r="B204" s="7"/>
    </row>
    <row r="205" spans="2:2" ht="15.75" customHeight="1" x14ac:dyDescent="0.35">
      <c r="B205" s="7"/>
    </row>
    <row r="206" spans="2:2" ht="15.75" customHeight="1" x14ac:dyDescent="0.35">
      <c r="B206" s="7"/>
    </row>
    <row r="207" spans="2:2" ht="15.75" customHeight="1" x14ac:dyDescent="0.35">
      <c r="B207" s="7"/>
    </row>
    <row r="208" spans="2:2" ht="15.75" customHeight="1" x14ac:dyDescent="0.35">
      <c r="B208" s="7"/>
    </row>
    <row r="209" spans="2:2" ht="15.75" customHeight="1" x14ac:dyDescent="0.35">
      <c r="B209" s="7"/>
    </row>
    <row r="210" spans="2:2" ht="15.75" customHeight="1" x14ac:dyDescent="0.35">
      <c r="B210" s="7"/>
    </row>
    <row r="211" spans="2:2" ht="15.75" customHeight="1" x14ac:dyDescent="0.35">
      <c r="B211" s="7"/>
    </row>
    <row r="212" spans="2:2" ht="15.75" customHeight="1" x14ac:dyDescent="0.35">
      <c r="B212" s="7"/>
    </row>
    <row r="213" spans="2:2" ht="15.75" customHeight="1" x14ac:dyDescent="0.35">
      <c r="B213" s="7"/>
    </row>
    <row r="214" spans="2:2" ht="15.75" customHeight="1" x14ac:dyDescent="0.35">
      <c r="B214" s="7"/>
    </row>
    <row r="215" spans="2:2" ht="15.75" customHeight="1" x14ac:dyDescent="0.35">
      <c r="B215" s="7"/>
    </row>
    <row r="216" spans="2:2" ht="15.75" customHeight="1" x14ac:dyDescent="0.35">
      <c r="B216" s="7"/>
    </row>
    <row r="217" spans="2:2" ht="15.75" customHeight="1" x14ac:dyDescent="0.35">
      <c r="B217" s="7"/>
    </row>
    <row r="218" spans="2:2" ht="15.75" customHeight="1" x14ac:dyDescent="0.35">
      <c r="B218" s="7"/>
    </row>
    <row r="219" spans="2:2" ht="15.75" customHeight="1" x14ac:dyDescent="0.35">
      <c r="B219" s="7"/>
    </row>
    <row r="220" spans="2:2" ht="15.75" customHeight="1" x14ac:dyDescent="0.35">
      <c r="B220" s="7"/>
    </row>
    <row r="221" spans="2:2" ht="15.75" customHeight="1" x14ac:dyDescent="0.35">
      <c r="B221" s="7"/>
    </row>
    <row r="222" spans="2:2" ht="15.75" customHeight="1" x14ac:dyDescent="0.35">
      <c r="B222" s="7"/>
    </row>
    <row r="223" spans="2:2" ht="15.75" customHeight="1" x14ac:dyDescent="0.35">
      <c r="B223" s="7"/>
    </row>
    <row r="224" spans="2:2" ht="15.75" customHeight="1" x14ac:dyDescent="0.35">
      <c r="B224" s="7"/>
    </row>
    <row r="225" spans="2:2" ht="15.75" customHeight="1" x14ac:dyDescent="0.35">
      <c r="B225" s="7"/>
    </row>
    <row r="226" spans="2:2" ht="15.75" customHeight="1" x14ac:dyDescent="0.35">
      <c r="B226" s="7"/>
    </row>
    <row r="227" spans="2:2" ht="15.75" customHeight="1" x14ac:dyDescent="0.35">
      <c r="B227" s="7"/>
    </row>
    <row r="228" spans="2:2" ht="15.75" customHeight="1" x14ac:dyDescent="0.35">
      <c r="B228" s="7"/>
    </row>
    <row r="229" spans="2:2" ht="15.75" customHeight="1" x14ac:dyDescent="0.35">
      <c r="B229" s="7"/>
    </row>
    <row r="230" spans="2:2" ht="15.75" customHeight="1" x14ac:dyDescent="0.35">
      <c r="B230" s="7"/>
    </row>
    <row r="231" spans="2:2" ht="15.75" customHeight="1" x14ac:dyDescent="0.35">
      <c r="B231" s="7"/>
    </row>
    <row r="232" spans="2:2" ht="15.75" customHeight="1" x14ac:dyDescent="0.35">
      <c r="B232" s="7"/>
    </row>
    <row r="233" spans="2:2" ht="15.75" customHeight="1" x14ac:dyDescent="0.35">
      <c r="B233" s="7"/>
    </row>
    <row r="234" spans="2:2" ht="15.75" customHeight="1" x14ac:dyDescent="0.35">
      <c r="B234" s="7"/>
    </row>
    <row r="235" spans="2:2" ht="15.75" customHeight="1" x14ac:dyDescent="0.35">
      <c r="B235" s="7"/>
    </row>
    <row r="236" spans="2:2" ht="15.75" customHeight="1" x14ac:dyDescent="0.35">
      <c r="B236" s="7"/>
    </row>
    <row r="237" spans="2:2" ht="15.75" customHeight="1" x14ac:dyDescent="0.35">
      <c r="B237" s="7"/>
    </row>
    <row r="238" spans="2:2" ht="15.75" customHeight="1" x14ac:dyDescent="0.35">
      <c r="B238" s="7"/>
    </row>
    <row r="239" spans="2:2" ht="15.75" customHeight="1" x14ac:dyDescent="0.35">
      <c r="B239" s="7"/>
    </row>
    <row r="240" spans="2:2" ht="15.75" customHeight="1" x14ac:dyDescent="0.35">
      <c r="B240" s="7"/>
    </row>
    <row r="241" spans="2:2" ht="15.75" customHeight="1" x14ac:dyDescent="0.35">
      <c r="B241" s="7"/>
    </row>
    <row r="242" spans="2:2" ht="15.75" customHeight="1" x14ac:dyDescent="0.35">
      <c r="B242" s="7"/>
    </row>
    <row r="243" spans="2:2" ht="15.75" customHeight="1" x14ac:dyDescent="0.35">
      <c r="B243" s="7"/>
    </row>
    <row r="244" spans="2:2" ht="15.75" customHeight="1" x14ac:dyDescent="0.35">
      <c r="B244" s="7"/>
    </row>
    <row r="245" spans="2:2" ht="15.75" customHeight="1" x14ac:dyDescent="0.35">
      <c r="B245" s="7"/>
    </row>
    <row r="246" spans="2:2" ht="15.75" customHeight="1" x14ac:dyDescent="0.35">
      <c r="B246" s="7"/>
    </row>
    <row r="247" spans="2:2" ht="15.75" customHeight="1" x14ac:dyDescent="0.35">
      <c r="B247" s="7"/>
    </row>
    <row r="248" spans="2:2" ht="15.75" customHeight="1" x14ac:dyDescent="0.35">
      <c r="B248" s="7"/>
    </row>
    <row r="249" spans="2:2" ht="15.75" customHeight="1" x14ac:dyDescent="0.35">
      <c r="B249" s="7"/>
    </row>
    <row r="250" spans="2:2" ht="15.75" customHeight="1" x14ac:dyDescent="0.35">
      <c r="B250" s="7"/>
    </row>
    <row r="251" spans="2:2" ht="15.75" customHeight="1" x14ac:dyDescent="0.35">
      <c r="B251" s="7"/>
    </row>
    <row r="252" spans="2:2" ht="15.75" customHeight="1" x14ac:dyDescent="0.35">
      <c r="B252" s="7"/>
    </row>
    <row r="253" spans="2:2" ht="15.75" customHeight="1" x14ac:dyDescent="0.35">
      <c r="B253" s="7"/>
    </row>
    <row r="254" spans="2:2" ht="15.75" customHeight="1" x14ac:dyDescent="0.35">
      <c r="B254" s="7"/>
    </row>
    <row r="255" spans="2:2" ht="15.75" customHeight="1" x14ac:dyDescent="0.35">
      <c r="B255" s="7"/>
    </row>
    <row r="256" spans="2:2" ht="15.75" customHeight="1" x14ac:dyDescent="0.35">
      <c r="B256" s="7"/>
    </row>
    <row r="257" spans="2:2" ht="15.75" customHeight="1" x14ac:dyDescent="0.35">
      <c r="B257" s="7"/>
    </row>
    <row r="258" spans="2:2" ht="15.75" customHeight="1" x14ac:dyDescent="0.35">
      <c r="B258" s="7"/>
    </row>
    <row r="259" spans="2:2" ht="15.75" customHeight="1" x14ac:dyDescent="0.35">
      <c r="B259" s="7"/>
    </row>
    <row r="260" spans="2:2" ht="15.75" customHeight="1" x14ac:dyDescent="0.35">
      <c r="B260" s="7"/>
    </row>
    <row r="261" spans="2:2" ht="15.75" customHeight="1" x14ac:dyDescent="0.35">
      <c r="B261" s="7"/>
    </row>
    <row r="262" spans="2:2" ht="15.75" customHeight="1" x14ac:dyDescent="0.35">
      <c r="B262" s="7"/>
    </row>
    <row r="263" spans="2:2" ht="15.75" customHeight="1" x14ac:dyDescent="0.35">
      <c r="B263" s="7"/>
    </row>
    <row r="264" spans="2:2" ht="15.75" customHeight="1" x14ac:dyDescent="0.35">
      <c r="B264" s="7"/>
    </row>
    <row r="265" spans="2:2" ht="15.75" customHeight="1" x14ac:dyDescent="0.35">
      <c r="B265" s="7"/>
    </row>
    <row r="266" spans="2:2" ht="15.75" customHeight="1" x14ac:dyDescent="0.35">
      <c r="B266" s="7"/>
    </row>
    <row r="267" spans="2:2" ht="15.75" customHeight="1" x14ac:dyDescent="0.35">
      <c r="B267" s="7"/>
    </row>
    <row r="268" spans="2:2" ht="15.75" customHeight="1" x14ac:dyDescent="0.35">
      <c r="B268" s="7"/>
    </row>
    <row r="269" spans="2:2" ht="15.75" customHeight="1" x14ac:dyDescent="0.35">
      <c r="B269" s="7"/>
    </row>
    <row r="270" spans="2:2" ht="15.75" customHeight="1" x14ac:dyDescent="0.35">
      <c r="B270" s="7"/>
    </row>
    <row r="271" spans="2:2" ht="15.75" customHeight="1" x14ac:dyDescent="0.35">
      <c r="B271" s="7"/>
    </row>
    <row r="272" spans="2:2" ht="15.75" customHeight="1" x14ac:dyDescent="0.35">
      <c r="B272" s="7"/>
    </row>
    <row r="273" spans="2:2" ht="15.75" customHeight="1" x14ac:dyDescent="0.35">
      <c r="B273" s="7"/>
    </row>
    <row r="274" spans="2:2" ht="15.75" customHeight="1" x14ac:dyDescent="0.35">
      <c r="B274" s="7"/>
    </row>
    <row r="275" spans="2:2" ht="15.75" customHeight="1" x14ac:dyDescent="0.35">
      <c r="B275" s="7"/>
    </row>
    <row r="276" spans="2:2" ht="15.75" customHeight="1" x14ac:dyDescent="0.35">
      <c r="B276" s="7"/>
    </row>
    <row r="277" spans="2:2" ht="15.75" customHeight="1" x14ac:dyDescent="0.35">
      <c r="B277" s="7"/>
    </row>
    <row r="278" spans="2:2" ht="15.75" customHeight="1" x14ac:dyDescent="0.35">
      <c r="B278" s="7"/>
    </row>
    <row r="279" spans="2:2" ht="15.75" customHeight="1" x14ac:dyDescent="0.35">
      <c r="B279" s="7"/>
    </row>
    <row r="280" spans="2:2" ht="15.75" customHeight="1" x14ac:dyDescent="0.35">
      <c r="B280" s="7"/>
    </row>
    <row r="281" spans="2:2" ht="15.75" customHeight="1" x14ac:dyDescent="0.35">
      <c r="B281" s="7"/>
    </row>
    <row r="282" spans="2:2" ht="15.75" customHeight="1" x14ac:dyDescent="0.35">
      <c r="B282" s="7"/>
    </row>
    <row r="283" spans="2:2" ht="15.75" customHeight="1" x14ac:dyDescent="0.35">
      <c r="B283" s="7"/>
    </row>
    <row r="284" spans="2:2" ht="15.75" customHeight="1" x14ac:dyDescent="0.35">
      <c r="B284" s="7"/>
    </row>
    <row r="285" spans="2:2" ht="15.75" customHeight="1" x14ac:dyDescent="0.35">
      <c r="B285" s="7"/>
    </row>
    <row r="286" spans="2:2" ht="15.75" customHeight="1" x14ac:dyDescent="0.35">
      <c r="B286" s="7"/>
    </row>
    <row r="287" spans="2:2" ht="15.75" customHeight="1" x14ac:dyDescent="0.35">
      <c r="B287" s="7"/>
    </row>
    <row r="288" spans="2:2" ht="15.75" customHeight="1" x14ac:dyDescent="0.35">
      <c r="B288" s="7"/>
    </row>
    <row r="289" spans="2:2" ht="15.75" customHeight="1" x14ac:dyDescent="0.35">
      <c r="B289" s="7"/>
    </row>
    <row r="290" spans="2:2" ht="15.75" customHeight="1" x14ac:dyDescent="0.35">
      <c r="B290" s="7"/>
    </row>
    <row r="291" spans="2:2" ht="15.75" customHeight="1" x14ac:dyDescent="0.35">
      <c r="B291" s="7"/>
    </row>
    <row r="292" spans="2:2" ht="15.75" customHeight="1" x14ac:dyDescent="0.35">
      <c r="B292" s="7"/>
    </row>
    <row r="293" spans="2:2" ht="15.75" customHeight="1" x14ac:dyDescent="0.35">
      <c r="B293" s="7"/>
    </row>
    <row r="294" spans="2:2" ht="15.75" customHeight="1" x14ac:dyDescent="0.35">
      <c r="B294" s="7"/>
    </row>
    <row r="295" spans="2:2" ht="15.75" customHeight="1" x14ac:dyDescent="0.35">
      <c r="B295" s="7"/>
    </row>
    <row r="296" spans="2:2" ht="15.75" customHeight="1" x14ac:dyDescent="0.35">
      <c r="B296" s="7"/>
    </row>
    <row r="297" spans="2:2" ht="15.75" customHeight="1" x14ac:dyDescent="0.35">
      <c r="B297" s="7"/>
    </row>
    <row r="298" spans="2:2" ht="15.75" customHeight="1" x14ac:dyDescent="0.35">
      <c r="B298" s="7"/>
    </row>
    <row r="299" spans="2:2" ht="15.75" customHeight="1" x14ac:dyDescent="0.35">
      <c r="B299" s="7"/>
    </row>
    <row r="300" spans="2:2" ht="15.75" customHeight="1" x14ac:dyDescent="0.35">
      <c r="B300" s="7"/>
    </row>
    <row r="301" spans="2:2" ht="15.75" customHeight="1" x14ac:dyDescent="0.35">
      <c r="B301" s="7"/>
    </row>
    <row r="302" spans="2:2" ht="15.75" customHeight="1" x14ac:dyDescent="0.35">
      <c r="B302" s="7"/>
    </row>
    <row r="303" spans="2:2" ht="15.75" customHeight="1" x14ac:dyDescent="0.35">
      <c r="B303" s="7"/>
    </row>
    <row r="304" spans="2:2" ht="15.75" customHeight="1" x14ac:dyDescent="0.35">
      <c r="B304" s="7"/>
    </row>
    <row r="305" spans="2:2" ht="15.75" customHeight="1" x14ac:dyDescent="0.35">
      <c r="B305" s="7"/>
    </row>
    <row r="306" spans="2:2" ht="15.75" customHeight="1" x14ac:dyDescent="0.35">
      <c r="B306" s="7"/>
    </row>
    <row r="307" spans="2:2" ht="15.75" customHeight="1" x14ac:dyDescent="0.35">
      <c r="B307" s="7"/>
    </row>
    <row r="308" spans="2:2" ht="15.75" customHeight="1" x14ac:dyDescent="0.35">
      <c r="B308" s="7"/>
    </row>
    <row r="309" spans="2:2" ht="15.75" customHeight="1" x14ac:dyDescent="0.35">
      <c r="B309" s="7"/>
    </row>
    <row r="310" spans="2:2" ht="15.75" customHeight="1" x14ac:dyDescent="0.35">
      <c r="B310" s="7"/>
    </row>
    <row r="311" spans="2:2" ht="15.75" customHeight="1" x14ac:dyDescent="0.35">
      <c r="B311" s="7"/>
    </row>
    <row r="312" spans="2:2" ht="15.75" customHeight="1" x14ac:dyDescent="0.35">
      <c r="B312" s="7"/>
    </row>
    <row r="313" spans="2:2" ht="15.75" customHeight="1" x14ac:dyDescent="0.35">
      <c r="B313" s="7"/>
    </row>
    <row r="314" spans="2:2" ht="15.75" customHeight="1" x14ac:dyDescent="0.35">
      <c r="B314" s="7"/>
    </row>
    <row r="315" spans="2:2" ht="15.75" customHeight="1" x14ac:dyDescent="0.35">
      <c r="B315" s="7"/>
    </row>
    <row r="316" spans="2:2" ht="15.75" customHeight="1" x14ac:dyDescent="0.35">
      <c r="B316" s="7"/>
    </row>
    <row r="317" spans="2:2" ht="15.75" customHeight="1" x14ac:dyDescent="0.35">
      <c r="B317" s="7"/>
    </row>
    <row r="318" spans="2:2" ht="15.75" customHeight="1" x14ac:dyDescent="0.35">
      <c r="B318" s="7"/>
    </row>
    <row r="319" spans="2:2" ht="15.75" customHeight="1" x14ac:dyDescent="0.35">
      <c r="B319" s="7"/>
    </row>
    <row r="320" spans="2:2" ht="15.75" customHeight="1" x14ac:dyDescent="0.35">
      <c r="B320" s="7"/>
    </row>
    <row r="321" spans="2:2" ht="15.75" customHeight="1" x14ac:dyDescent="0.35">
      <c r="B321" s="7"/>
    </row>
    <row r="322" spans="2:2" ht="15.75" customHeight="1" x14ac:dyDescent="0.35">
      <c r="B322" s="7"/>
    </row>
    <row r="323" spans="2:2" ht="15.75" customHeight="1" x14ac:dyDescent="0.35">
      <c r="B323" s="7"/>
    </row>
    <row r="324" spans="2:2" ht="15.75" customHeight="1" x14ac:dyDescent="0.35">
      <c r="B324" s="7"/>
    </row>
    <row r="325" spans="2:2" ht="15.75" customHeight="1" x14ac:dyDescent="0.35">
      <c r="B325" s="7"/>
    </row>
    <row r="326" spans="2:2" ht="15.75" customHeight="1" x14ac:dyDescent="0.35">
      <c r="B326" s="7"/>
    </row>
    <row r="327" spans="2:2" ht="15.75" customHeight="1" x14ac:dyDescent="0.35">
      <c r="B327" s="7"/>
    </row>
    <row r="328" spans="2:2" ht="15.75" customHeight="1" x14ac:dyDescent="0.35">
      <c r="B328" s="7"/>
    </row>
    <row r="329" spans="2:2" ht="15.75" customHeight="1" x14ac:dyDescent="0.35">
      <c r="B329" s="7"/>
    </row>
    <row r="330" spans="2:2" ht="15.75" customHeight="1" x14ac:dyDescent="0.35">
      <c r="B330" s="7"/>
    </row>
    <row r="331" spans="2:2" ht="15.75" customHeight="1" x14ac:dyDescent="0.35">
      <c r="B331" s="7"/>
    </row>
    <row r="332" spans="2:2" ht="15.75" customHeight="1" x14ac:dyDescent="0.35">
      <c r="B332" s="7"/>
    </row>
    <row r="333" spans="2:2" ht="15.75" customHeight="1" x14ac:dyDescent="0.35">
      <c r="B333" s="7"/>
    </row>
    <row r="334" spans="2:2" ht="15.75" customHeight="1" x14ac:dyDescent="0.35">
      <c r="B334" s="7"/>
    </row>
    <row r="335" spans="2:2" ht="15.75" customHeight="1" x14ac:dyDescent="0.35">
      <c r="B335" s="7"/>
    </row>
    <row r="336" spans="2:2" ht="15.75" customHeight="1" x14ac:dyDescent="0.35">
      <c r="B336" s="7"/>
    </row>
    <row r="337" spans="2:2" ht="15.75" customHeight="1" x14ac:dyDescent="0.35">
      <c r="B337" s="7"/>
    </row>
    <row r="338" spans="2:2" ht="15.75" customHeight="1" x14ac:dyDescent="0.35">
      <c r="B338" s="7"/>
    </row>
    <row r="339" spans="2:2" ht="15.75" customHeight="1" x14ac:dyDescent="0.35">
      <c r="B339" s="7"/>
    </row>
    <row r="340" spans="2:2" ht="15.75" customHeight="1" x14ac:dyDescent="0.35">
      <c r="B340" s="7"/>
    </row>
    <row r="341" spans="2:2" ht="15.75" customHeight="1" x14ac:dyDescent="0.35">
      <c r="B341" s="7"/>
    </row>
    <row r="342" spans="2:2" ht="15.75" customHeight="1" x14ac:dyDescent="0.35">
      <c r="B342" s="7"/>
    </row>
    <row r="343" spans="2:2" ht="15.75" customHeight="1" x14ac:dyDescent="0.35">
      <c r="B343" s="7"/>
    </row>
    <row r="344" spans="2:2" ht="15.75" customHeight="1" x14ac:dyDescent="0.35">
      <c r="B344" s="7"/>
    </row>
    <row r="345" spans="2:2" ht="15.75" customHeight="1" x14ac:dyDescent="0.35">
      <c r="B345" s="7"/>
    </row>
    <row r="346" spans="2:2" ht="15.75" customHeight="1" x14ac:dyDescent="0.35">
      <c r="B346" s="7"/>
    </row>
    <row r="347" spans="2:2" ht="15.75" customHeight="1" x14ac:dyDescent="0.35">
      <c r="B347" s="7"/>
    </row>
    <row r="348" spans="2:2" ht="15.75" customHeight="1" x14ac:dyDescent="0.35">
      <c r="B348" s="7"/>
    </row>
    <row r="349" spans="2:2" ht="15.75" customHeight="1" x14ac:dyDescent="0.35">
      <c r="B349" s="7"/>
    </row>
    <row r="350" spans="2:2" ht="15.75" customHeight="1" x14ac:dyDescent="0.35">
      <c r="B350" s="7"/>
    </row>
    <row r="351" spans="2:2" ht="15.75" customHeight="1" x14ac:dyDescent="0.35">
      <c r="B351" s="7"/>
    </row>
    <row r="352" spans="2:2" ht="15.75" customHeight="1" x14ac:dyDescent="0.35">
      <c r="B352" s="7"/>
    </row>
    <row r="353" spans="2:2" ht="15.75" customHeight="1" x14ac:dyDescent="0.35">
      <c r="B353" s="7"/>
    </row>
    <row r="354" spans="2:2" ht="15.75" customHeight="1" x14ac:dyDescent="0.35">
      <c r="B354" s="7"/>
    </row>
    <row r="355" spans="2:2" ht="15.75" customHeight="1" x14ac:dyDescent="0.35">
      <c r="B355" s="7"/>
    </row>
    <row r="356" spans="2:2" ht="15.75" customHeight="1" x14ac:dyDescent="0.35">
      <c r="B356" s="7"/>
    </row>
    <row r="357" spans="2:2" ht="15.75" customHeight="1" x14ac:dyDescent="0.35">
      <c r="B357" s="7"/>
    </row>
    <row r="358" spans="2:2" ht="15.75" customHeight="1" x14ac:dyDescent="0.35">
      <c r="B358" s="7"/>
    </row>
    <row r="359" spans="2:2" ht="15.75" customHeight="1" x14ac:dyDescent="0.35">
      <c r="B359" s="7"/>
    </row>
    <row r="360" spans="2:2" ht="15.75" customHeight="1" x14ac:dyDescent="0.35">
      <c r="B360" s="7"/>
    </row>
    <row r="361" spans="2:2" ht="15.75" customHeight="1" x14ac:dyDescent="0.35">
      <c r="B361" s="7"/>
    </row>
    <row r="362" spans="2:2" ht="15.75" customHeight="1" x14ac:dyDescent="0.35">
      <c r="B362" s="7"/>
    </row>
    <row r="363" spans="2:2" ht="15.75" customHeight="1" x14ac:dyDescent="0.35">
      <c r="B363" s="7"/>
    </row>
    <row r="364" spans="2:2" ht="15.75" customHeight="1" x14ac:dyDescent="0.35">
      <c r="B364" s="7"/>
    </row>
    <row r="365" spans="2:2" ht="15.75" customHeight="1" x14ac:dyDescent="0.35">
      <c r="B365" s="7"/>
    </row>
    <row r="366" spans="2:2" ht="15.75" customHeight="1" x14ac:dyDescent="0.35">
      <c r="B366" s="7"/>
    </row>
    <row r="367" spans="2:2" ht="15.75" customHeight="1" x14ac:dyDescent="0.35">
      <c r="B367" s="7"/>
    </row>
    <row r="368" spans="2:2" ht="15.75" customHeight="1" x14ac:dyDescent="0.35">
      <c r="B368" s="7"/>
    </row>
    <row r="369" spans="2:2" ht="15.75" customHeight="1" x14ac:dyDescent="0.35">
      <c r="B369" s="7"/>
    </row>
    <row r="370" spans="2:2" ht="15.75" customHeight="1" x14ac:dyDescent="0.35">
      <c r="B370" s="7"/>
    </row>
    <row r="371" spans="2:2" ht="15.75" customHeight="1" x14ac:dyDescent="0.35">
      <c r="B371" s="7"/>
    </row>
    <row r="372" spans="2:2" ht="15.75" customHeight="1" x14ac:dyDescent="0.35">
      <c r="B372" s="7"/>
    </row>
    <row r="373" spans="2:2" ht="15.75" customHeight="1" x14ac:dyDescent="0.35">
      <c r="B373" s="7"/>
    </row>
    <row r="374" spans="2:2" ht="15.75" customHeight="1" x14ac:dyDescent="0.35">
      <c r="B374" s="7"/>
    </row>
    <row r="375" spans="2:2" ht="15.75" customHeight="1" x14ac:dyDescent="0.35">
      <c r="B375" s="7"/>
    </row>
    <row r="376" spans="2:2" ht="15.75" customHeight="1" x14ac:dyDescent="0.35">
      <c r="B376" s="7"/>
    </row>
    <row r="377" spans="2:2" ht="15.75" customHeight="1" x14ac:dyDescent="0.35">
      <c r="B377" s="7"/>
    </row>
    <row r="378" spans="2:2" ht="15.75" customHeight="1" x14ac:dyDescent="0.35">
      <c r="B378" s="7"/>
    </row>
    <row r="379" spans="2:2" ht="15.75" customHeight="1" x14ac:dyDescent="0.35">
      <c r="B379" s="7"/>
    </row>
    <row r="380" spans="2:2" ht="15.75" customHeight="1" x14ac:dyDescent="0.35">
      <c r="B380" s="7"/>
    </row>
    <row r="381" spans="2:2" ht="15.75" customHeight="1" x14ac:dyDescent="0.35">
      <c r="B381" s="7"/>
    </row>
    <row r="382" spans="2:2" ht="15.75" customHeight="1" x14ac:dyDescent="0.35">
      <c r="B382" s="7"/>
    </row>
    <row r="383" spans="2:2" ht="15.75" customHeight="1" x14ac:dyDescent="0.35">
      <c r="B383" s="7"/>
    </row>
    <row r="384" spans="2:2" ht="15.75" customHeight="1" x14ac:dyDescent="0.35">
      <c r="B384" s="7"/>
    </row>
    <row r="385" spans="2:2" ht="15.75" customHeight="1" x14ac:dyDescent="0.35">
      <c r="B385" s="7"/>
    </row>
    <row r="386" spans="2:2" ht="15.75" customHeight="1" x14ac:dyDescent="0.35">
      <c r="B386" s="7"/>
    </row>
    <row r="387" spans="2:2" ht="15.75" customHeight="1" x14ac:dyDescent="0.35">
      <c r="B387" s="7"/>
    </row>
    <row r="388" spans="2:2" ht="15.75" customHeight="1" x14ac:dyDescent="0.35">
      <c r="B388" s="7"/>
    </row>
    <row r="389" spans="2:2" ht="15.75" customHeight="1" x14ac:dyDescent="0.35">
      <c r="B389" s="7"/>
    </row>
    <row r="390" spans="2:2" ht="15.75" customHeight="1" x14ac:dyDescent="0.35">
      <c r="B390" s="7"/>
    </row>
    <row r="391" spans="2:2" ht="15.75" customHeight="1" x14ac:dyDescent="0.35">
      <c r="B391" s="7"/>
    </row>
    <row r="392" spans="2:2" ht="15.75" customHeight="1" x14ac:dyDescent="0.35">
      <c r="B392" s="7"/>
    </row>
    <row r="393" spans="2:2" ht="15.75" customHeight="1" x14ac:dyDescent="0.35">
      <c r="B393" s="7"/>
    </row>
    <row r="394" spans="2:2" ht="15.75" customHeight="1" x14ac:dyDescent="0.35">
      <c r="B394" s="7"/>
    </row>
    <row r="395" spans="2:2" ht="15.75" customHeight="1" x14ac:dyDescent="0.35">
      <c r="B395" s="7"/>
    </row>
    <row r="396" spans="2:2" ht="15.75" customHeight="1" x14ac:dyDescent="0.35">
      <c r="B396" s="7"/>
    </row>
    <row r="397" spans="2:2" ht="15.75" customHeight="1" x14ac:dyDescent="0.35">
      <c r="B397" s="7"/>
    </row>
    <row r="398" spans="2:2" ht="15.75" customHeight="1" x14ac:dyDescent="0.35">
      <c r="B398" s="7"/>
    </row>
    <row r="399" spans="2:2" ht="15.75" customHeight="1" x14ac:dyDescent="0.35">
      <c r="B399" s="7"/>
    </row>
    <row r="400" spans="2:2" ht="15.75" customHeight="1" x14ac:dyDescent="0.35">
      <c r="B400" s="7"/>
    </row>
    <row r="401" spans="2:2" ht="15.75" customHeight="1" x14ac:dyDescent="0.35">
      <c r="B401" s="7"/>
    </row>
    <row r="402" spans="2:2" ht="15.75" customHeight="1" x14ac:dyDescent="0.35">
      <c r="B402" s="7"/>
    </row>
    <row r="403" spans="2:2" ht="15.75" customHeight="1" x14ac:dyDescent="0.35">
      <c r="B403" s="7"/>
    </row>
    <row r="404" spans="2:2" ht="15.75" customHeight="1" x14ac:dyDescent="0.35">
      <c r="B404" s="7"/>
    </row>
    <row r="405" spans="2:2" ht="15.75" customHeight="1" x14ac:dyDescent="0.35">
      <c r="B405" s="7"/>
    </row>
    <row r="406" spans="2:2" ht="15.75" customHeight="1" x14ac:dyDescent="0.35">
      <c r="B406" s="7"/>
    </row>
    <row r="407" spans="2:2" ht="15.75" customHeight="1" x14ac:dyDescent="0.35">
      <c r="B407" s="7"/>
    </row>
    <row r="408" spans="2:2" ht="15.75" customHeight="1" x14ac:dyDescent="0.35">
      <c r="B408" s="7"/>
    </row>
    <row r="409" spans="2:2" ht="15.75" customHeight="1" x14ac:dyDescent="0.35">
      <c r="B409" s="7"/>
    </row>
    <row r="410" spans="2:2" ht="15.75" customHeight="1" x14ac:dyDescent="0.35">
      <c r="B410" s="7"/>
    </row>
    <row r="411" spans="2:2" ht="15.75" customHeight="1" x14ac:dyDescent="0.35">
      <c r="B411" s="7"/>
    </row>
    <row r="412" spans="2:2" ht="15.75" customHeight="1" x14ac:dyDescent="0.35">
      <c r="B412" s="7"/>
    </row>
    <row r="413" spans="2:2" ht="15.75" customHeight="1" x14ac:dyDescent="0.35">
      <c r="B413" s="7"/>
    </row>
    <row r="414" spans="2:2" ht="15.75" customHeight="1" x14ac:dyDescent="0.35">
      <c r="B414" s="7"/>
    </row>
    <row r="415" spans="2:2" ht="15.75" customHeight="1" x14ac:dyDescent="0.35">
      <c r="B415" s="7"/>
    </row>
    <row r="416" spans="2:2" ht="15.75" customHeight="1" x14ac:dyDescent="0.35">
      <c r="B416" s="7"/>
    </row>
    <row r="417" spans="2:2" ht="15.75" customHeight="1" x14ac:dyDescent="0.35">
      <c r="B417" s="7"/>
    </row>
    <row r="418" spans="2:2" ht="15.75" customHeight="1" x14ac:dyDescent="0.35">
      <c r="B418" s="7"/>
    </row>
    <row r="419" spans="2:2" ht="15.75" customHeight="1" x14ac:dyDescent="0.35">
      <c r="B419" s="7"/>
    </row>
    <row r="420" spans="2:2" ht="15.75" customHeight="1" x14ac:dyDescent="0.35">
      <c r="B420" s="7"/>
    </row>
    <row r="421" spans="2:2" ht="15.75" customHeight="1" x14ac:dyDescent="0.35">
      <c r="B421" s="7"/>
    </row>
    <row r="422" spans="2:2" ht="15.75" customHeight="1" x14ac:dyDescent="0.35">
      <c r="B422" s="7"/>
    </row>
    <row r="423" spans="2:2" ht="15.75" customHeight="1" x14ac:dyDescent="0.35">
      <c r="B423" s="7"/>
    </row>
    <row r="424" spans="2:2" ht="15.75" customHeight="1" x14ac:dyDescent="0.35">
      <c r="B424" s="7"/>
    </row>
    <row r="425" spans="2:2" ht="15.75" customHeight="1" x14ac:dyDescent="0.35">
      <c r="B425" s="7"/>
    </row>
    <row r="426" spans="2:2" ht="15.75" customHeight="1" x14ac:dyDescent="0.35">
      <c r="B426" s="7"/>
    </row>
    <row r="427" spans="2:2" ht="15.75" customHeight="1" x14ac:dyDescent="0.35">
      <c r="B427" s="7"/>
    </row>
    <row r="428" spans="2:2" ht="15.75" customHeight="1" x14ac:dyDescent="0.35">
      <c r="B428" s="7"/>
    </row>
    <row r="429" spans="2:2" ht="15.75" customHeight="1" x14ac:dyDescent="0.35">
      <c r="B429" s="7"/>
    </row>
    <row r="430" spans="2:2" ht="15.75" customHeight="1" x14ac:dyDescent="0.35">
      <c r="B430" s="7"/>
    </row>
    <row r="431" spans="2:2" ht="15.75" customHeight="1" x14ac:dyDescent="0.35">
      <c r="B431" s="7"/>
    </row>
    <row r="432" spans="2:2" ht="15.75" customHeight="1" x14ac:dyDescent="0.35">
      <c r="B432" s="7"/>
    </row>
    <row r="433" spans="2:2" ht="15.75" customHeight="1" x14ac:dyDescent="0.35">
      <c r="B433" s="7"/>
    </row>
    <row r="434" spans="2:2" ht="15.75" customHeight="1" x14ac:dyDescent="0.35">
      <c r="B434" s="7"/>
    </row>
    <row r="435" spans="2:2" ht="15.75" customHeight="1" x14ac:dyDescent="0.35">
      <c r="B435" s="7"/>
    </row>
    <row r="436" spans="2:2" ht="15.75" customHeight="1" x14ac:dyDescent="0.35">
      <c r="B436" s="7"/>
    </row>
    <row r="437" spans="2:2" ht="15.75" customHeight="1" x14ac:dyDescent="0.35">
      <c r="B437" s="7"/>
    </row>
    <row r="438" spans="2:2" ht="15.75" customHeight="1" x14ac:dyDescent="0.35">
      <c r="B438" s="7"/>
    </row>
    <row r="439" spans="2:2" ht="15.75" customHeight="1" x14ac:dyDescent="0.35">
      <c r="B439" s="7"/>
    </row>
    <row r="440" spans="2:2" ht="15.75" customHeight="1" x14ac:dyDescent="0.35">
      <c r="B440" s="7"/>
    </row>
    <row r="441" spans="2:2" ht="15.75" customHeight="1" x14ac:dyDescent="0.35">
      <c r="B441" s="7"/>
    </row>
    <row r="442" spans="2:2" ht="15.75" customHeight="1" x14ac:dyDescent="0.35">
      <c r="B442" s="7"/>
    </row>
    <row r="443" spans="2:2" ht="15.75" customHeight="1" x14ac:dyDescent="0.35">
      <c r="B443" s="7"/>
    </row>
    <row r="444" spans="2:2" ht="15.75" customHeight="1" x14ac:dyDescent="0.35">
      <c r="B444" s="7"/>
    </row>
    <row r="445" spans="2:2" ht="15.75" customHeight="1" x14ac:dyDescent="0.35">
      <c r="B445" s="7"/>
    </row>
    <row r="446" spans="2:2" ht="15.75" customHeight="1" x14ac:dyDescent="0.35">
      <c r="B446" s="7"/>
    </row>
    <row r="447" spans="2:2" ht="15.75" customHeight="1" x14ac:dyDescent="0.35">
      <c r="B447" s="7"/>
    </row>
    <row r="448" spans="2:2" ht="15.75" customHeight="1" x14ac:dyDescent="0.35">
      <c r="B448" s="7"/>
    </row>
    <row r="449" spans="2:2" ht="15.75" customHeight="1" x14ac:dyDescent="0.35">
      <c r="B449" s="7"/>
    </row>
    <row r="450" spans="2:2" ht="15.75" customHeight="1" x14ac:dyDescent="0.35">
      <c r="B450" s="7"/>
    </row>
    <row r="451" spans="2:2" ht="15.75" customHeight="1" x14ac:dyDescent="0.35">
      <c r="B451" s="7"/>
    </row>
    <row r="452" spans="2:2" ht="15.75" customHeight="1" x14ac:dyDescent="0.35">
      <c r="B452" s="7"/>
    </row>
    <row r="453" spans="2:2" ht="15.75" customHeight="1" x14ac:dyDescent="0.35">
      <c r="B453" s="7"/>
    </row>
    <row r="454" spans="2:2" ht="15.75" customHeight="1" x14ac:dyDescent="0.35">
      <c r="B454" s="7"/>
    </row>
    <row r="455" spans="2:2" ht="15.75" customHeight="1" x14ac:dyDescent="0.35">
      <c r="B455" s="7"/>
    </row>
    <row r="456" spans="2:2" ht="15.75" customHeight="1" x14ac:dyDescent="0.35">
      <c r="B456" s="7"/>
    </row>
    <row r="457" spans="2:2" ht="15.75" customHeight="1" x14ac:dyDescent="0.35">
      <c r="B457" s="7"/>
    </row>
    <row r="458" spans="2:2" ht="15.75" customHeight="1" x14ac:dyDescent="0.35">
      <c r="B458" s="7"/>
    </row>
    <row r="459" spans="2:2" ht="15.75" customHeight="1" x14ac:dyDescent="0.35">
      <c r="B459" s="7"/>
    </row>
    <row r="460" spans="2:2" ht="15.75" customHeight="1" x14ac:dyDescent="0.35">
      <c r="B460" s="7"/>
    </row>
    <row r="461" spans="2:2" ht="15.75" customHeight="1" x14ac:dyDescent="0.35">
      <c r="B461" s="7"/>
    </row>
    <row r="462" spans="2:2" ht="15.75" customHeight="1" x14ac:dyDescent="0.35">
      <c r="B462" s="7"/>
    </row>
    <row r="463" spans="2:2" ht="15.75" customHeight="1" x14ac:dyDescent="0.35">
      <c r="B463" s="7"/>
    </row>
    <row r="464" spans="2:2" ht="15.75" customHeight="1" x14ac:dyDescent="0.35">
      <c r="B464" s="7"/>
    </row>
    <row r="465" spans="2:2" ht="15.75" customHeight="1" x14ac:dyDescent="0.35">
      <c r="B465" s="7"/>
    </row>
    <row r="466" spans="2:2" ht="15.75" customHeight="1" x14ac:dyDescent="0.35">
      <c r="B466" s="7"/>
    </row>
    <row r="467" spans="2:2" ht="15.75" customHeight="1" x14ac:dyDescent="0.35">
      <c r="B467" s="7"/>
    </row>
    <row r="468" spans="2:2" ht="15.75" customHeight="1" x14ac:dyDescent="0.35">
      <c r="B468" s="7"/>
    </row>
    <row r="469" spans="2:2" ht="15.75" customHeight="1" x14ac:dyDescent="0.35">
      <c r="B469" s="7"/>
    </row>
    <row r="470" spans="2:2" ht="15.75" customHeight="1" x14ac:dyDescent="0.35">
      <c r="B470" s="7"/>
    </row>
    <row r="471" spans="2:2" ht="15.75" customHeight="1" x14ac:dyDescent="0.35">
      <c r="B471" s="7"/>
    </row>
    <row r="472" spans="2:2" ht="15.75" customHeight="1" x14ac:dyDescent="0.35">
      <c r="B472" s="7"/>
    </row>
    <row r="473" spans="2:2" ht="15.75" customHeight="1" x14ac:dyDescent="0.35">
      <c r="B473" s="7"/>
    </row>
    <row r="474" spans="2:2" ht="15.75" customHeight="1" x14ac:dyDescent="0.35">
      <c r="B474" s="7"/>
    </row>
    <row r="475" spans="2:2" ht="15.75" customHeight="1" x14ac:dyDescent="0.35">
      <c r="B475" s="7"/>
    </row>
    <row r="476" spans="2:2" ht="15.75" customHeight="1" x14ac:dyDescent="0.35">
      <c r="B476" s="7"/>
    </row>
    <row r="477" spans="2:2" ht="15.75" customHeight="1" x14ac:dyDescent="0.35">
      <c r="B477" s="7"/>
    </row>
    <row r="478" spans="2:2" ht="15.75" customHeight="1" x14ac:dyDescent="0.35">
      <c r="B478" s="7"/>
    </row>
    <row r="479" spans="2:2" ht="15.75" customHeight="1" x14ac:dyDescent="0.35">
      <c r="B479" s="7"/>
    </row>
    <row r="480" spans="2:2" ht="15.75" customHeight="1" x14ac:dyDescent="0.35">
      <c r="B480" s="7"/>
    </row>
    <row r="481" spans="2:2" ht="15.75" customHeight="1" x14ac:dyDescent="0.35">
      <c r="B481" s="7"/>
    </row>
    <row r="482" spans="2:2" ht="15.75" customHeight="1" x14ac:dyDescent="0.35">
      <c r="B482" s="7"/>
    </row>
    <row r="483" spans="2:2" ht="15.75" customHeight="1" x14ac:dyDescent="0.35">
      <c r="B483" s="7"/>
    </row>
    <row r="484" spans="2:2" ht="15.75" customHeight="1" x14ac:dyDescent="0.35">
      <c r="B484" s="7"/>
    </row>
    <row r="485" spans="2:2" ht="15.75" customHeight="1" x14ac:dyDescent="0.35">
      <c r="B485" s="7"/>
    </row>
    <row r="486" spans="2:2" ht="15.75" customHeight="1" x14ac:dyDescent="0.35">
      <c r="B486" s="7"/>
    </row>
    <row r="487" spans="2:2" ht="15.75" customHeight="1" x14ac:dyDescent="0.35">
      <c r="B487" s="7"/>
    </row>
    <row r="488" spans="2:2" ht="15.75" customHeight="1" x14ac:dyDescent="0.35">
      <c r="B488" s="7"/>
    </row>
    <row r="489" spans="2:2" ht="15.75" customHeight="1" x14ac:dyDescent="0.35">
      <c r="B489" s="7"/>
    </row>
    <row r="490" spans="2:2" ht="15.75" customHeight="1" x14ac:dyDescent="0.35">
      <c r="B490" s="7"/>
    </row>
    <row r="491" spans="2:2" ht="15.75" customHeight="1" x14ac:dyDescent="0.35">
      <c r="B491" s="7"/>
    </row>
    <row r="492" spans="2:2" ht="15.75" customHeight="1" x14ac:dyDescent="0.35">
      <c r="B492" s="7"/>
    </row>
    <row r="493" spans="2:2" ht="15.75" customHeight="1" x14ac:dyDescent="0.35">
      <c r="B493" s="7"/>
    </row>
    <row r="494" spans="2:2" ht="15.75" customHeight="1" x14ac:dyDescent="0.35">
      <c r="B494" s="7"/>
    </row>
    <row r="495" spans="2:2" ht="15.75" customHeight="1" x14ac:dyDescent="0.35">
      <c r="B495" s="7"/>
    </row>
    <row r="496" spans="2:2" ht="15.75" customHeight="1" x14ac:dyDescent="0.35">
      <c r="B496" s="7"/>
    </row>
    <row r="497" spans="2:2" ht="15.75" customHeight="1" x14ac:dyDescent="0.35">
      <c r="B497" s="7"/>
    </row>
    <row r="498" spans="2:2" ht="15.75" customHeight="1" x14ac:dyDescent="0.35">
      <c r="B498" s="7"/>
    </row>
    <row r="499" spans="2:2" ht="15.75" customHeight="1" x14ac:dyDescent="0.35">
      <c r="B499" s="7"/>
    </row>
    <row r="500" spans="2:2" ht="15.75" customHeight="1" x14ac:dyDescent="0.35">
      <c r="B500" s="7"/>
    </row>
    <row r="501" spans="2:2" ht="15.75" customHeight="1" x14ac:dyDescent="0.35">
      <c r="B501" s="7"/>
    </row>
    <row r="502" spans="2:2" ht="15.75" customHeight="1" x14ac:dyDescent="0.35">
      <c r="B502" s="7"/>
    </row>
    <row r="503" spans="2:2" ht="15.75" customHeight="1" x14ac:dyDescent="0.35">
      <c r="B503" s="7"/>
    </row>
    <row r="504" spans="2:2" ht="15.75" customHeight="1" x14ac:dyDescent="0.35">
      <c r="B504" s="7"/>
    </row>
    <row r="505" spans="2:2" ht="15.75" customHeight="1" x14ac:dyDescent="0.35">
      <c r="B505" s="7"/>
    </row>
    <row r="506" spans="2:2" ht="15.75" customHeight="1" x14ac:dyDescent="0.35">
      <c r="B506" s="7"/>
    </row>
    <row r="507" spans="2:2" ht="15.75" customHeight="1" x14ac:dyDescent="0.35">
      <c r="B507" s="7"/>
    </row>
    <row r="508" spans="2:2" ht="15.75" customHeight="1" x14ac:dyDescent="0.35">
      <c r="B508" s="7"/>
    </row>
    <row r="509" spans="2:2" ht="15.75" customHeight="1" x14ac:dyDescent="0.35">
      <c r="B509" s="7"/>
    </row>
    <row r="510" spans="2:2" ht="15.75" customHeight="1" x14ac:dyDescent="0.35">
      <c r="B510" s="7"/>
    </row>
    <row r="511" spans="2:2" ht="15.75" customHeight="1" x14ac:dyDescent="0.35">
      <c r="B511" s="7"/>
    </row>
    <row r="512" spans="2:2" ht="15.75" customHeight="1" x14ac:dyDescent="0.35">
      <c r="B512" s="7"/>
    </row>
    <row r="513" spans="2:2" ht="15.75" customHeight="1" x14ac:dyDescent="0.35">
      <c r="B513" s="7"/>
    </row>
    <row r="514" spans="2:2" ht="15.75" customHeight="1" x14ac:dyDescent="0.35">
      <c r="B514" s="7"/>
    </row>
    <row r="515" spans="2:2" ht="15.75" customHeight="1" x14ac:dyDescent="0.35">
      <c r="B515" s="7"/>
    </row>
    <row r="516" spans="2:2" ht="15.75" customHeight="1" x14ac:dyDescent="0.35">
      <c r="B516" s="7"/>
    </row>
    <row r="517" spans="2:2" ht="15.75" customHeight="1" x14ac:dyDescent="0.35">
      <c r="B517" s="7"/>
    </row>
    <row r="518" spans="2:2" ht="15.75" customHeight="1" x14ac:dyDescent="0.35">
      <c r="B518" s="7"/>
    </row>
    <row r="519" spans="2:2" ht="15.75" customHeight="1" x14ac:dyDescent="0.35">
      <c r="B519" s="7"/>
    </row>
    <row r="520" spans="2:2" ht="15.75" customHeight="1" x14ac:dyDescent="0.35">
      <c r="B520" s="7"/>
    </row>
    <row r="521" spans="2:2" ht="15.75" customHeight="1" x14ac:dyDescent="0.35">
      <c r="B521" s="7"/>
    </row>
    <row r="522" spans="2:2" ht="15.75" customHeight="1" x14ac:dyDescent="0.35">
      <c r="B522" s="7"/>
    </row>
    <row r="523" spans="2:2" ht="15.75" customHeight="1" x14ac:dyDescent="0.35">
      <c r="B523" s="7"/>
    </row>
    <row r="524" spans="2:2" ht="15.75" customHeight="1" x14ac:dyDescent="0.35">
      <c r="B524" s="7"/>
    </row>
    <row r="525" spans="2:2" ht="15.75" customHeight="1" x14ac:dyDescent="0.35">
      <c r="B525" s="7"/>
    </row>
    <row r="526" spans="2:2" ht="15.75" customHeight="1" x14ac:dyDescent="0.35">
      <c r="B526" s="7"/>
    </row>
    <row r="527" spans="2:2" ht="15.75" customHeight="1" x14ac:dyDescent="0.35">
      <c r="B527" s="7"/>
    </row>
    <row r="528" spans="2:2" ht="15.75" customHeight="1" x14ac:dyDescent="0.35">
      <c r="B528" s="7"/>
    </row>
    <row r="529" spans="2:2" ht="15.75" customHeight="1" x14ac:dyDescent="0.35">
      <c r="B529" s="7"/>
    </row>
    <row r="530" spans="2:2" ht="15.75" customHeight="1" x14ac:dyDescent="0.35">
      <c r="B530" s="7"/>
    </row>
    <row r="531" spans="2:2" ht="15.75" customHeight="1" x14ac:dyDescent="0.35">
      <c r="B531" s="7"/>
    </row>
    <row r="532" spans="2:2" ht="15.75" customHeight="1" x14ac:dyDescent="0.35">
      <c r="B532" s="7"/>
    </row>
    <row r="533" spans="2:2" ht="15.75" customHeight="1" x14ac:dyDescent="0.35">
      <c r="B533" s="7"/>
    </row>
    <row r="534" spans="2:2" ht="15.75" customHeight="1" x14ac:dyDescent="0.35">
      <c r="B534" s="7"/>
    </row>
    <row r="535" spans="2:2" ht="15.75" customHeight="1" x14ac:dyDescent="0.35">
      <c r="B535" s="7"/>
    </row>
    <row r="536" spans="2:2" ht="15.75" customHeight="1" x14ac:dyDescent="0.35">
      <c r="B536" s="7"/>
    </row>
    <row r="537" spans="2:2" ht="15.75" customHeight="1" x14ac:dyDescent="0.35">
      <c r="B537" s="7"/>
    </row>
    <row r="538" spans="2:2" ht="15.75" customHeight="1" x14ac:dyDescent="0.35">
      <c r="B538" s="7"/>
    </row>
    <row r="539" spans="2:2" ht="15.75" customHeight="1" x14ac:dyDescent="0.35">
      <c r="B539" s="7"/>
    </row>
    <row r="540" spans="2:2" ht="15.75" customHeight="1" x14ac:dyDescent="0.35">
      <c r="B540" s="7"/>
    </row>
    <row r="541" spans="2:2" ht="15.75" customHeight="1" x14ac:dyDescent="0.35">
      <c r="B541" s="7"/>
    </row>
    <row r="542" spans="2:2" ht="15.75" customHeight="1" x14ac:dyDescent="0.35">
      <c r="B542" s="7"/>
    </row>
    <row r="543" spans="2:2" ht="15.75" customHeight="1" x14ac:dyDescent="0.35">
      <c r="B543" s="7"/>
    </row>
    <row r="544" spans="2:2" ht="15.75" customHeight="1" x14ac:dyDescent="0.35">
      <c r="B544" s="7"/>
    </row>
    <row r="545" spans="2:2" ht="15.75" customHeight="1" x14ac:dyDescent="0.35">
      <c r="B545" s="7"/>
    </row>
    <row r="546" spans="2:2" ht="15.75" customHeight="1" x14ac:dyDescent="0.35">
      <c r="B546" s="7"/>
    </row>
    <row r="547" spans="2:2" ht="15.75" customHeight="1" x14ac:dyDescent="0.35">
      <c r="B547" s="7"/>
    </row>
    <row r="548" spans="2:2" ht="15.75" customHeight="1" x14ac:dyDescent="0.35">
      <c r="B548" s="7"/>
    </row>
    <row r="549" spans="2:2" ht="15.75" customHeight="1" x14ac:dyDescent="0.35">
      <c r="B549" s="7"/>
    </row>
    <row r="550" spans="2:2" ht="15.75" customHeight="1" x14ac:dyDescent="0.35">
      <c r="B550" s="7"/>
    </row>
    <row r="551" spans="2:2" ht="15.75" customHeight="1" x14ac:dyDescent="0.35">
      <c r="B551" s="7"/>
    </row>
    <row r="552" spans="2:2" ht="15.75" customHeight="1" x14ac:dyDescent="0.35">
      <c r="B552" s="7"/>
    </row>
    <row r="553" spans="2:2" ht="15.75" customHeight="1" x14ac:dyDescent="0.35">
      <c r="B553" s="7"/>
    </row>
    <row r="554" spans="2:2" ht="15.75" customHeight="1" x14ac:dyDescent="0.35">
      <c r="B554" s="7"/>
    </row>
    <row r="555" spans="2:2" ht="15.75" customHeight="1" x14ac:dyDescent="0.35">
      <c r="B555" s="7"/>
    </row>
    <row r="556" spans="2:2" ht="15.75" customHeight="1" x14ac:dyDescent="0.35">
      <c r="B556" s="7"/>
    </row>
    <row r="557" spans="2:2" ht="15.75" customHeight="1" x14ac:dyDescent="0.35">
      <c r="B557" s="7"/>
    </row>
    <row r="558" spans="2:2" ht="15.75" customHeight="1" x14ac:dyDescent="0.35">
      <c r="B558" s="7"/>
    </row>
    <row r="559" spans="2:2" ht="15.75" customHeight="1" x14ac:dyDescent="0.35">
      <c r="B559" s="7"/>
    </row>
    <row r="560" spans="2:2" ht="15.75" customHeight="1" x14ac:dyDescent="0.35">
      <c r="B560" s="7"/>
    </row>
    <row r="561" spans="2:2" ht="15.75" customHeight="1" x14ac:dyDescent="0.35">
      <c r="B561" s="7"/>
    </row>
    <row r="562" spans="2:2" ht="15.75" customHeight="1" x14ac:dyDescent="0.35">
      <c r="B562" s="7"/>
    </row>
    <row r="563" spans="2:2" ht="15.75" customHeight="1" x14ac:dyDescent="0.35">
      <c r="B563" s="7"/>
    </row>
    <row r="564" spans="2:2" ht="15.75" customHeight="1" x14ac:dyDescent="0.35">
      <c r="B564" s="7"/>
    </row>
    <row r="565" spans="2:2" ht="15.75" customHeight="1" x14ac:dyDescent="0.35">
      <c r="B565" s="7"/>
    </row>
    <row r="566" spans="2:2" ht="15.75" customHeight="1" x14ac:dyDescent="0.35">
      <c r="B566" s="7"/>
    </row>
    <row r="567" spans="2:2" ht="15.75" customHeight="1" x14ac:dyDescent="0.35">
      <c r="B567" s="7"/>
    </row>
    <row r="568" spans="2:2" ht="15.75" customHeight="1" x14ac:dyDescent="0.35">
      <c r="B568" s="7"/>
    </row>
    <row r="569" spans="2:2" ht="15.75" customHeight="1" x14ac:dyDescent="0.35">
      <c r="B569" s="7"/>
    </row>
    <row r="570" spans="2:2" ht="15.75" customHeight="1" x14ac:dyDescent="0.35">
      <c r="B570" s="7"/>
    </row>
    <row r="571" spans="2:2" ht="15.75" customHeight="1" x14ac:dyDescent="0.35">
      <c r="B571" s="7"/>
    </row>
    <row r="572" spans="2:2" ht="15.75" customHeight="1" x14ac:dyDescent="0.35">
      <c r="B572" s="7"/>
    </row>
    <row r="573" spans="2:2" ht="15.75" customHeight="1" x14ac:dyDescent="0.35">
      <c r="B573" s="7"/>
    </row>
    <row r="574" spans="2:2" ht="15.75" customHeight="1" x14ac:dyDescent="0.35">
      <c r="B574" s="7"/>
    </row>
    <row r="575" spans="2:2" ht="15.75" customHeight="1" x14ac:dyDescent="0.35">
      <c r="B575" s="7"/>
    </row>
    <row r="576" spans="2:2" ht="15.75" customHeight="1" x14ac:dyDescent="0.35">
      <c r="B576" s="7"/>
    </row>
    <row r="577" spans="2:2" ht="15.75" customHeight="1" x14ac:dyDescent="0.35">
      <c r="B577" s="7"/>
    </row>
    <row r="578" spans="2:2" ht="15.75" customHeight="1" x14ac:dyDescent="0.35">
      <c r="B578" s="7"/>
    </row>
    <row r="579" spans="2:2" ht="15.75" customHeight="1" x14ac:dyDescent="0.35">
      <c r="B579" s="7"/>
    </row>
    <row r="580" spans="2:2" ht="15.75" customHeight="1" x14ac:dyDescent="0.35">
      <c r="B580" s="7"/>
    </row>
    <row r="581" spans="2:2" ht="15.75" customHeight="1" x14ac:dyDescent="0.35">
      <c r="B581" s="7"/>
    </row>
    <row r="582" spans="2:2" ht="15.75" customHeight="1" x14ac:dyDescent="0.35">
      <c r="B582" s="7"/>
    </row>
    <row r="583" spans="2:2" ht="15.75" customHeight="1" x14ac:dyDescent="0.35">
      <c r="B583" s="7"/>
    </row>
    <row r="584" spans="2:2" ht="15.75" customHeight="1" x14ac:dyDescent="0.35">
      <c r="B584" s="7"/>
    </row>
    <row r="585" spans="2:2" ht="15.75" customHeight="1" x14ac:dyDescent="0.35">
      <c r="B585" s="7"/>
    </row>
    <row r="586" spans="2:2" ht="15.75" customHeight="1" x14ac:dyDescent="0.35">
      <c r="B586" s="7"/>
    </row>
    <row r="587" spans="2:2" ht="15.75" customHeight="1" x14ac:dyDescent="0.35">
      <c r="B587" s="7"/>
    </row>
    <row r="588" spans="2:2" ht="15.75" customHeight="1" x14ac:dyDescent="0.35">
      <c r="B588" s="7"/>
    </row>
    <row r="589" spans="2:2" ht="15.75" customHeight="1" x14ac:dyDescent="0.35">
      <c r="B589" s="7"/>
    </row>
    <row r="590" spans="2:2" ht="15.75" customHeight="1" x14ac:dyDescent="0.35">
      <c r="B590" s="7"/>
    </row>
    <row r="591" spans="2:2" ht="15.75" customHeight="1" x14ac:dyDescent="0.35">
      <c r="B591" s="7"/>
    </row>
    <row r="592" spans="2:2" ht="15.75" customHeight="1" x14ac:dyDescent="0.35">
      <c r="B592" s="7"/>
    </row>
    <row r="593" spans="2:2" ht="15.75" customHeight="1" x14ac:dyDescent="0.35">
      <c r="B593" s="7"/>
    </row>
    <row r="594" spans="2:2" ht="15.75" customHeight="1" x14ac:dyDescent="0.35">
      <c r="B594" s="7"/>
    </row>
    <row r="595" spans="2:2" ht="15.75" customHeight="1" x14ac:dyDescent="0.35">
      <c r="B595" s="7"/>
    </row>
    <row r="596" spans="2:2" ht="15.75" customHeight="1" x14ac:dyDescent="0.35">
      <c r="B596" s="7"/>
    </row>
    <row r="597" spans="2:2" ht="15.75" customHeight="1" x14ac:dyDescent="0.35">
      <c r="B597" s="7"/>
    </row>
    <row r="598" spans="2:2" ht="15.75" customHeight="1" x14ac:dyDescent="0.35">
      <c r="B598" s="7"/>
    </row>
    <row r="599" spans="2:2" ht="15.75" customHeight="1" x14ac:dyDescent="0.35">
      <c r="B599" s="7"/>
    </row>
    <row r="600" spans="2:2" ht="15.75" customHeight="1" x14ac:dyDescent="0.35">
      <c r="B600" s="7"/>
    </row>
    <row r="601" spans="2:2" ht="15.75" customHeight="1" x14ac:dyDescent="0.35">
      <c r="B601" s="7"/>
    </row>
    <row r="602" spans="2:2" ht="15.75" customHeight="1" x14ac:dyDescent="0.35">
      <c r="B602" s="7"/>
    </row>
    <row r="603" spans="2:2" ht="15.75" customHeight="1" x14ac:dyDescent="0.35">
      <c r="B603" s="7"/>
    </row>
    <row r="604" spans="2:2" ht="15.75" customHeight="1" x14ac:dyDescent="0.35">
      <c r="B604" s="7"/>
    </row>
    <row r="605" spans="2:2" ht="15.75" customHeight="1" x14ac:dyDescent="0.35">
      <c r="B605" s="7"/>
    </row>
    <row r="606" spans="2:2" ht="15.75" customHeight="1" x14ac:dyDescent="0.35">
      <c r="B606" s="7"/>
    </row>
    <row r="607" spans="2:2" ht="15.75" customHeight="1" x14ac:dyDescent="0.35">
      <c r="B607" s="7"/>
    </row>
    <row r="608" spans="2:2" ht="15.75" customHeight="1" x14ac:dyDescent="0.35">
      <c r="B608" s="7"/>
    </row>
    <row r="609" spans="2:2" ht="15.75" customHeight="1" x14ac:dyDescent="0.35">
      <c r="B609" s="7"/>
    </row>
    <row r="610" spans="2:2" ht="15.75" customHeight="1" x14ac:dyDescent="0.35">
      <c r="B610" s="7"/>
    </row>
    <row r="611" spans="2:2" ht="15.75" customHeight="1" x14ac:dyDescent="0.35">
      <c r="B611" s="7"/>
    </row>
    <row r="612" spans="2:2" ht="15.75" customHeight="1" x14ac:dyDescent="0.35">
      <c r="B612" s="7"/>
    </row>
    <row r="613" spans="2:2" ht="15.75" customHeight="1" x14ac:dyDescent="0.35">
      <c r="B613" s="7"/>
    </row>
    <row r="614" spans="2:2" ht="15.75" customHeight="1" x14ac:dyDescent="0.35">
      <c r="B614" s="7"/>
    </row>
    <row r="615" spans="2:2" ht="15.75" customHeight="1" x14ac:dyDescent="0.35">
      <c r="B615" s="7"/>
    </row>
    <row r="616" spans="2:2" ht="15.75" customHeight="1" x14ac:dyDescent="0.35">
      <c r="B616" s="7"/>
    </row>
    <row r="617" spans="2:2" ht="15.75" customHeight="1" x14ac:dyDescent="0.35">
      <c r="B617" s="7"/>
    </row>
    <row r="618" spans="2:2" ht="15.75" customHeight="1" x14ac:dyDescent="0.35">
      <c r="B618" s="7"/>
    </row>
    <row r="619" spans="2:2" ht="15.75" customHeight="1" x14ac:dyDescent="0.35">
      <c r="B619" s="7"/>
    </row>
    <row r="620" spans="2:2" ht="15.75" customHeight="1" x14ac:dyDescent="0.35">
      <c r="B620" s="7"/>
    </row>
    <row r="621" spans="2:2" ht="15.75" customHeight="1" x14ac:dyDescent="0.35">
      <c r="B621" s="7"/>
    </row>
    <row r="622" spans="2:2" ht="15.75" customHeight="1" x14ac:dyDescent="0.35">
      <c r="B622" s="7"/>
    </row>
    <row r="623" spans="2:2" ht="15.75" customHeight="1" x14ac:dyDescent="0.35">
      <c r="B623" s="7"/>
    </row>
    <row r="624" spans="2:2" ht="15.75" customHeight="1" x14ac:dyDescent="0.35">
      <c r="B624" s="7"/>
    </row>
    <row r="625" spans="2:2" ht="15.75" customHeight="1" x14ac:dyDescent="0.35">
      <c r="B625" s="7"/>
    </row>
    <row r="626" spans="2:2" ht="15.75" customHeight="1" x14ac:dyDescent="0.35">
      <c r="B626" s="7"/>
    </row>
    <row r="627" spans="2:2" ht="15.75" customHeight="1" x14ac:dyDescent="0.35">
      <c r="B627" s="7"/>
    </row>
    <row r="628" spans="2:2" ht="15.75" customHeight="1" x14ac:dyDescent="0.35">
      <c r="B628" s="7"/>
    </row>
    <row r="629" spans="2:2" ht="15.75" customHeight="1" x14ac:dyDescent="0.35">
      <c r="B629" s="7"/>
    </row>
    <row r="630" spans="2:2" ht="15.75" customHeight="1" x14ac:dyDescent="0.35">
      <c r="B630" s="7"/>
    </row>
    <row r="631" spans="2:2" ht="15.75" customHeight="1" x14ac:dyDescent="0.35">
      <c r="B631" s="7"/>
    </row>
    <row r="632" spans="2:2" ht="15.75" customHeight="1" x14ac:dyDescent="0.35">
      <c r="B632" s="7"/>
    </row>
    <row r="633" spans="2:2" ht="15.75" customHeight="1" x14ac:dyDescent="0.35">
      <c r="B633" s="7"/>
    </row>
    <row r="634" spans="2:2" ht="15.75" customHeight="1" x14ac:dyDescent="0.35">
      <c r="B634" s="7"/>
    </row>
    <row r="635" spans="2:2" ht="15.75" customHeight="1" x14ac:dyDescent="0.35">
      <c r="B635" s="7"/>
    </row>
    <row r="636" spans="2:2" ht="15.75" customHeight="1" x14ac:dyDescent="0.35">
      <c r="B636" s="7"/>
    </row>
    <row r="637" spans="2:2" ht="15.75" customHeight="1" x14ac:dyDescent="0.35">
      <c r="B637" s="7"/>
    </row>
    <row r="638" spans="2:2" ht="15.75" customHeight="1" x14ac:dyDescent="0.35">
      <c r="B638" s="7"/>
    </row>
    <row r="639" spans="2:2" ht="15.75" customHeight="1" x14ac:dyDescent="0.35">
      <c r="B639" s="7"/>
    </row>
    <row r="640" spans="2:2" ht="15.75" customHeight="1" x14ac:dyDescent="0.35">
      <c r="B640" s="7"/>
    </row>
    <row r="641" spans="2:2" ht="15.75" customHeight="1" x14ac:dyDescent="0.35">
      <c r="B641" s="7"/>
    </row>
    <row r="642" spans="2:2" ht="15.75" customHeight="1" x14ac:dyDescent="0.35">
      <c r="B642" s="7"/>
    </row>
    <row r="643" spans="2:2" ht="15.75" customHeight="1" x14ac:dyDescent="0.35">
      <c r="B643" s="7"/>
    </row>
    <row r="644" spans="2:2" ht="15.75" customHeight="1" x14ac:dyDescent="0.35">
      <c r="B644" s="7"/>
    </row>
    <row r="645" spans="2:2" ht="15.75" customHeight="1" x14ac:dyDescent="0.35">
      <c r="B645" s="7"/>
    </row>
    <row r="646" spans="2:2" ht="15.75" customHeight="1" x14ac:dyDescent="0.35">
      <c r="B646" s="7"/>
    </row>
    <row r="647" spans="2:2" ht="15.75" customHeight="1" x14ac:dyDescent="0.35">
      <c r="B647" s="7"/>
    </row>
    <row r="648" spans="2:2" ht="15.75" customHeight="1" x14ac:dyDescent="0.35">
      <c r="B648" s="7"/>
    </row>
    <row r="649" spans="2:2" ht="15.75" customHeight="1" x14ac:dyDescent="0.35">
      <c r="B649" s="7"/>
    </row>
    <row r="650" spans="2:2" ht="15.75" customHeight="1" x14ac:dyDescent="0.35">
      <c r="B650" s="7"/>
    </row>
    <row r="651" spans="2:2" ht="15.75" customHeight="1" x14ac:dyDescent="0.35">
      <c r="B651" s="7"/>
    </row>
    <row r="652" spans="2:2" ht="15.75" customHeight="1" x14ac:dyDescent="0.35">
      <c r="B652" s="7"/>
    </row>
    <row r="653" spans="2:2" ht="15.75" customHeight="1" x14ac:dyDescent="0.35">
      <c r="B653" s="7"/>
    </row>
    <row r="654" spans="2:2" ht="15.75" customHeight="1" x14ac:dyDescent="0.35">
      <c r="B654" s="7"/>
    </row>
    <row r="655" spans="2:2" ht="15.75" customHeight="1" x14ac:dyDescent="0.35">
      <c r="B655" s="7"/>
    </row>
    <row r="656" spans="2:2" ht="15.75" customHeight="1" x14ac:dyDescent="0.35">
      <c r="B656" s="7"/>
    </row>
    <row r="657" spans="2:2" ht="15.75" customHeight="1" x14ac:dyDescent="0.35">
      <c r="B657" s="7"/>
    </row>
    <row r="658" spans="2:2" ht="15.75" customHeight="1" x14ac:dyDescent="0.35">
      <c r="B658" s="7"/>
    </row>
    <row r="659" spans="2:2" ht="15.75" customHeight="1" x14ac:dyDescent="0.35">
      <c r="B659" s="7"/>
    </row>
    <row r="660" spans="2:2" ht="15.75" customHeight="1" x14ac:dyDescent="0.35">
      <c r="B660" s="7"/>
    </row>
    <row r="661" spans="2:2" ht="15.75" customHeight="1" x14ac:dyDescent="0.35">
      <c r="B661" s="7"/>
    </row>
    <row r="662" spans="2:2" ht="15.75" customHeight="1" x14ac:dyDescent="0.35">
      <c r="B662" s="7"/>
    </row>
    <row r="663" spans="2:2" ht="15.75" customHeight="1" x14ac:dyDescent="0.35">
      <c r="B663" s="7"/>
    </row>
    <row r="664" spans="2:2" ht="15.75" customHeight="1" x14ac:dyDescent="0.35">
      <c r="B664" s="7"/>
    </row>
    <row r="665" spans="2:2" ht="15.75" customHeight="1" x14ac:dyDescent="0.35">
      <c r="B665" s="7"/>
    </row>
    <row r="666" spans="2:2" ht="15.75" customHeight="1" x14ac:dyDescent="0.35">
      <c r="B666" s="7"/>
    </row>
    <row r="667" spans="2:2" ht="15.75" customHeight="1" x14ac:dyDescent="0.35">
      <c r="B667" s="7"/>
    </row>
    <row r="668" spans="2:2" ht="15.75" customHeight="1" x14ac:dyDescent="0.35">
      <c r="B668" s="7"/>
    </row>
    <row r="669" spans="2:2" ht="15.75" customHeight="1" x14ac:dyDescent="0.35">
      <c r="B669" s="7"/>
    </row>
    <row r="670" spans="2:2" ht="15.75" customHeight="1" x14ac:dyDescent="0.35">
      <c r="B670" s="7"/>
    </row>
    <row r="671" spans="2:2" ht="15.75" customHeight="1" x14ac:dyDescent="0.35">
      <c r="B671" s="7"/>
    </row>
    <row r="672" spans="2:2" ht="15.75" customHeight="1" x14ac:dyDescent="0.35">
      <c r="B672" s="7"/>
    </row>
    <row r="673" spans="2:2" ht="15.75" customHeight="1" x14ac:dyDescent="0.35">
      <c r="B673" s="7"/>
    </row>
    <row r="674" spans="2:2" ht="15.75" customHeight="1" x14ac:dyDescent="0.35">
      <c r="B674" s="7"/>
    </row>
    <row r="675" spans="2:2" ht="15.75" customHeight="1" x14ac:dyDescent="0.35">
      <c r="B675" s="7"/>
    </row>
    <row r="676" spans="2:2" ht="15.75" customHeight="1" x14ac:dyDescent="0.35">
      <c r="B676" s="7"/>
    </row>
    <row r="677" spans="2:2" ht="15.75" customHeight="1" x14ac:dyDescent="0.35">
      <c r="B677" s="7"/>
    </row>
    <row r="678" spans="2:2" ht="15.75" customHeight="1" x14ac:dyDescent="0.35">
      <c r="B678" s="7"/>
    </row>
    <row r="679" spans="2:2" ht="15.75" customHeight="1" x14ac:dyDescent="0.35">
      <c r="B679" s="7"/>
    </row>
    <row r="680" spans="2:2" ht="15.75" customHeight="1" x14ac:dyDescent="0.35">
      <c r="B680" s="7"/>
    </row>
    <row r="681" spans="2:2" ht="15.75" customHeight="1" x14ac:dyDescent="0.35">
      <c r="B681" s="7"/>
    </row>
    <row r="682" spans="2:2" ht="15.75" customHeight="1" x14ac:dyDescent="0.35">
      <c r="B682" s="7"/>
    </row>
    <row r="683" spans="2:2" ht="15.75" customHeight="1" x14ac:dyDescent="0.35">
      <c r="B683" s="7"/>
    </row>
    <row r="684" spans="2:2" ht="15.75" customHeight="1" x14ac:dyDescent="0.35">
      <c r="B684" s="7"/>
    </row>
    <row r="685" spans="2:2" ht="15.75" customHeight="1" x14ac:dyDescent="0.35">
      <c r="B685" s="7"/>
    </row>
    <row r="686" spans="2:2" ht="15.75" customHeight="1" x14ac:dyDescent="0.35">
      <c r="B686" s="7"/>
    </row>
    <row r="687" spans="2:2" ht="15.75" customHeight="1" x14ac:dyDescent="0.35">
      <c r="B687" s="7"/>
    </row>
    <row r="688" spans="2:2" ht="15.75" customHeight="1" x14ac:dyDescent="0.35">
      <c r="B688" s="7"/>
    </row>
    <row r="689" spans="2:2" ht="15.75" customHeight="1" x14ac:dyDescent="0.35">
      <c r="B689" s="7"/>
    </row>
    <row r="690" spans="2:2" ht="15.75" customHeight="1" x14ac:dyDescent="0.35">
      <c r="B690" s="7"/>
    </row>
    <row r="691" spans="2:2" ht="15.75" customHeight="1" x14ac:dyDescent="0.35">
      <c r="B691" s="7"/>
    </row>
    <row r="692" spans="2:2" ht="15.75" customHeight="1" x14ac:dyDescent="0.35">
      <c r="B692" s="7"/>
    </row>
    <row r="693" spans="2:2" ht="15.75" customHeight="1" x14ac:dyDescent="0.35">
      <c r="B693" s="7"/>
    </row>
    <row r="694" spans="2:2" ht="15.75" customHeight="1" x14ac:dyDescent="0.35">
      <c r="B694" s="7"/>
    </row>
    <row r="695" spans="2:2" ht="15.75" customHeight="1" x14ac:dyDescent="0.35">
      <c r="B695" s="7"/>
    </row>
    <row r="696" spans="2:2" ht="15.75" customHeight="1" x14ac:dyDescent="0.35">
      <c r="B696" s="7"/>
    </row>
    <row r="697" spans="2:2" ht="15.75" customHeight="1" x14ac:dyDescent="0.35">
      <c r="B697" s="7"/>
    </row>
    <row r="698" spans="2:2" ht="15.75" customHeight="1" x14ac:dyDescent="0.35">
      <c r="B698" s="7"/>
    </row>
    <row r="699" spans="2:2" ht="15.75" customHeight="1" x14ac:dyDescent="0.35">
      <c r="B699" s="7"/>
    </row>
    <row r="700" spans="2:2" ht="15.75" customHeight="1" x14ac:dyDescent="0.35">
      <c r="B700" s="7"/>
    </row>
    <row r="701" spans="2:2" ht="15.75" customHeight="1" x14ac:dyDescent="0.35">
      <c r="B701" s="7"/>
    </row>
    <row r="702" spans="2:2" ht="15.75" customHeight="1" x14ac:dyDescent="0.35">
      <c r="B702" s="7"/>
    </row>
    <row r="703" spans="2:2" ht="15.75" customHeight="1" x14ac:dyDescent="0.35">
      <c r="B703" s="7"/>
    </row>
    <row r="704" spans="2:2" ht="15.75" customHeight="1" x14ac:dyDescent="0.35">
      <c r="B704" s="7"/>
    </row>
    <row r="705" spans="2:2" ht="15.75" customHeight="1" x14ac:dyDescent="0.35">
      <c r="B705" s="7"/>
    </row>
    <row r="706" spans="2:2" ht="15.75" customHeight="1" x14ac:dyDescent="0.35">
      <c r="B706" s="7"/>
    </row>
    <row r="707" spans="2:2" ht="15.75" customHeight="1" x14ac:dyDescent="0.35">
      <c r="B707" s="7"/>
    </row>
    <row r="708" spans="2:2" ht="15.75" customHeight="1" x14ac:dyDescent="0.35">
      <c r="B708" s="7"/>
    </row>
    <row r="709" spans="2:2" ht="15.75" customHeight="1" x14ac:dyDescent="0.35">
      <c r="B709" s="7"/>
    </row>
    <row r="710" spans="2:2" ht="15.75" customHeight="1" x14ac:dyDescent="0.35">
      <c r="B710" s="7"/>
    </row>
    <row r="711" spans="2:2" ht="15.75" customHeight="1" x14ac:dyDescent="0.35">
      <c r="B711" s="7"/>
    </row>
    <row r="712" spans="2:2" ht="15.75" customHeight="1" x14ac:dyDescent="0.35">
      <c r="B712" s="7"/>
    </row>
    <row r="713" spans="2:2" ht="15.75" customHeight="1" x14ac:dyDescent="0.35">
      <c r="B713" s="7"/>
    </row>
    <row r="714" spans="2:2" ht="15.75" customHeight="1" x14ac:dyDescent="0.35">
      <c r="B714" s="7"/>
    </row>
    <row r="715" spans="2:2" ht="15.75" customHeight="1" x14ac:dyDescent="0.35">
      <c r="B715" s="7"/>
    </row>
    <row r="716" spans="2:2" ht="15.75" customHeight="1" x14ac:dyDescent="0.35">
      <c r="B716" s="7"/>
    </row>
    <row r="717" spans="2:2" ht="15.75" customHeight="1" x14ac:dyDescent="0.35">
      <c r="B717" s="7"/>
    </row>
    <row r="718" spans="2:2" ht="15.75" customHeight="1" x14ac:dyDescent="0.35">
      <c r="B718" s="7"/>
    </row>
    <row r="719" spans="2:2" ht="15.75" customHeight="1" x14ac:dyDescent="0.35">
      <c r="B719" s="7"/>
    </row>
    <row r="720" spans="2:2" ht="15.75" customHeight="1" x14ac:dyDescent="0.35">
      <c r="B720" s="7"/>
    </row>
    <row r="721" spans="2:2" ht="15.75" customHeight="1" x14ac:dyDescent="0.35">
      <c r="B721" s="7"/>
    </row>
    <row r="722" spans="2:2" ht="15.75" customHeight="1" x14ac:dyDescent="0.35">
      <c r="B722" s="7"/>
    </row>
    <row r="723" spans="2:2" ht="15.75" customHeight="1" x14ac:dyDescent="0.35">
      <c r="B723" s="7"/>
    </row>
    <row r="724" spans="2:2" ht="15.75" customHeight="1" x14ac:dyDescent="0.35">
      <c r="B724" s="7"/>
    </row>
    <row r="725" spans="2:2" ht="15.75" customHeight="1" x14ac:dyDescent="0.35">
      <c r="B725" s="7"/>
    </row>
    <row r="726" spans="2:2" ht="15.75" customHeight="1" x14ac:dyDescent="0.35">
      <c r="B726" s="7"/>
    </row>
    <row r="727" spans="2:2" ht="15.75" customHeight="1" x14ac:dyDescent="0.35">
      <c r="B727" s="7"/>
    </row>
    <row r="728" spans="2:2" ht="15.75" customHeight="1" x14ac:dyDescent="0.35">
      <c r="B728" s="7"/>
    </row>
    <row r="729" spans="2:2" ht="15.75" customHeight="1" x14ac:dyDescent="0.35">
      <c r="B729" s="7"/>
    </row>
    <row r="730" spans="2:2" ht="15.75" customHeight="1" x14ac:dyDescent="0.35">
      <c r="B730" s="7"/>
    </row>
    <row r="731" spans="2:2" ht="15.75" customHeight="1" x14ac:dyDescent="0.35">
      <c r="B731" s="7"/>
    </row>
    <row r="732" spans="2:2" ht="15.75" customHeight="1" x14ac:dyDescent="0.35">
      <c r="B732" s="7"/>
    </row>
    <row r="733" spans="2:2" ht="15.75" customHeight="1" x14ac:dyDescent="0.35">
      <c r="B733" s="7"/>
    </row>
    <row r="734" spans="2:2" ht="15.75" customHeight="1" x14ac:dyDescent="0.35">
      <c r="B734" s="7"/>
    </row>
    <row r="735" spans="2:2" ht="15.75" customHeight="1" x14ac:dyDescent="0.35">
      <c r="B735" s="7"/>
    </row>
    <row r="736" spans="2:2" ht="15.75" customHeight="1" x14ac:dyDescent="0.35">
      <c r="B736" s="7"/>
    </row>
    <row r="737" spans="2:2" ht="15.75" customHeight="1" x14ac:dyDescent="0.35">
      <c r="B737" s="7"/>
    </row>
    <row r="738" spans="2:2" ht="15.75" customHeight="1" x14ac:dyDescent="0.35">
      <c r="B738" s="7"/>
    </row>
    <row r="739" spans="2:2" ht="15.75" customHeight="1" x14ac:dyDescent="0.35">
      <c r="B739" s="7"/>
    </row>
    <row r="740" spans="2:2" ht="15.75" customHeight="1" x14ac:dyDescent="0.35">
      <c r="B740" s="7"/>
    </row>
    <row r="741" spans="2:2" ht="15.75" customHeight="1" x14ac:dyDescent="0.35">
      <c r="B741" s="7"/>
    </row>
    <row r="742" spans="2:2" ht="15.75" customHeight="1" x14ac:dyDescent="0.35">
      <c r="B742" s="7"/>
    </row>
    <row r="743" spans="2:2" ht="15.75" customHeight="1" x14ac:dyDescent="0.35">
      <c r="B743" s="7"/>
    </row>
    <row r="744" spans="2:2" ht="15.75" customHeight="1" x14ac:dyDescent="0.35">
      <c r="B744" s="7"/>
    </row>
    <row r="745" spans="2:2" ht="15.75" customHeight="1" x14ac:dyDescent="0.35">
      <c r="B745" s="7"/>
    </row>
    <row r="746" spans="2:2" ht="15.75" customHeight="1" x14ac:dyDescent="0.35">
      <c r="B746" s="7"/>
    </row>
    <row r="747" spans="2:2" ht="15.75" customHeight="1" x14ac:dyDescent="0.35">
      <c r="B747" s="7"/>
    </row>
    <row r="748" spans="2:2" ht="15.75" customHeight="1" x14ac:dyDescent="0.35">
      <c r="B748" s="7"/>
    </row>
    <row r="749" spans="2:2" ht="15.75" customHeight="1" x14ac:dyDescent="0.35">
      <c r="B749" s="7"/>
    </row>
    <row r="750" spans="2:2" ht="15.75" customHeight="1" x14ac:dyDescent="0.35">
      <c r="B750" s="7"/>
    </row>
    <row r="751" spans="2:2" ht="15.75" customHeight="1" x14ac:dyDescent="0.35">
      <c r="B751" s="7"/>
    </row>
    <row r="752" spans="2:2" ht="15.75" customHeight="1" x14ac:dyDescent="0.35">
      <c r="B752" s="7"/>
    </row>
    <row r="753" spans="2:2" ht="15.75" customHeight="1" x14ac:dyDescent="0.35">
      <c r="B753" s="7"/>
    </row>
    <row r="754" spans="2:2" ht="15.75" customHeight="1" x14ac:dyDescent="0.35">
      <c r="B754" s="7"/>
    </row>
    <row r="755" spans="2:2" ht="15.75" customHeight="1" x14ac:dyDescent="0.35">
      <c r="B755" s="7"/>
    </row>
    <row r="756" spans="2:2" ht="15.75" customHeight="1" x14ac:dyDescent="0.35">
      <c r="B756" s="7"/>
    </row>
    <row r="757" spans="2:2" ht="15.75" customHeight="1" x14ac:dyDescent="0.35">
      <c r="B757" s="7"/>
    </row>
    <row r="758" spans="2:2" ht="15.75" customHeight="1" x14ac:dyDescent="0.35">
      <c r="B758" s="7"/>
    </row>
    <row r="759" spans="2:2" ht="15.75" customHeight="1" x14ac:dyDescent="0.35">
      <c r="B759" s="7"/>
    </row>
    <row r="760" spans="2:2" ht="15.75" customHeight="1" x14ac:dyDescent="0.35">
      <c r="B760" s="7"/>
    </row>
    <row r="761" spans="2:2" ht="15.75" customHeight="1" x14ac:dyDescent="0.35">
      <c r="B761" s="7"/>
    </row>
    <row r="762" spans="2:2" ht="15.75" customHeight="1" x14ac:dyDescent="0.35">
      <c r="B762" s="7"/>
    </row>
    <row r="763" spans="2:2" ht="15.75" customHeight="1" x14ac:dyDescent="0.35">
      <c r="B763" s="7"/>
    </row>
    <row r="764" spans="2:2" ht="15.75" customHeight="1" x14ac:dyDescent="0.35">
      <c r="B764" s="7"/>
    </row>
    <row r="765" spans="2:2" ht="15.75" customHeight="1" x14ac:dyDescent="0.35">
      <c r="B765" s="7"/>
    </row>
    <row r="766" spans="2:2" ht="15.75" customHeight="1" x14ac:dyDescent="0.35">
      <c r="B766" s="7"/>
    </row>
    <row r="767" spans="2:2" ht="15.75" customHeight="1" x14ac:dyDescent="0.35">
      <c r="B767" s="7"/>
    </row>
    <row r="768" spans="2:2" ht="15.75" customHeight="1" x14ac:dyDescent="0.35">
      <c r="B768" s="7"/>
    </row>
    <row r="769" spans="2:2" ht="15.75" customHeight="1" x14ac:dyDescent="0.35">
      <c r="B769" s="7"/>
    </row>
    <row r="770" spans="2:2" ht="15.75" customHeight="1" x14ac:dyDescent="0.35">
      <c r="B770" s="7"/>
    </row>
    <row r="771" spans="2:2" ht="15.75" customHeight="1" x14ac:dyDescent="0.35">
      <c r="B771" s="7"/>
    </row>
    <row r="772" spans="2:2" ht="15.75" customHeight="1" x14ac:dyDescent="0.35">
      <c r="B772" s="7"/>
    </row>
    <row r="773" spans="2:2" ht="15.75" customHeight="1" x14ac:dyDescent="0.35">
      <c r="B773" s="7"/>
    </row>
    <row r="774" spans="2:2" ht="15.75" customHeight="1" x14ac:dyDescent="0.35">
      <c r="B774" s="7"/>
    </row>
    <row r="775" spans="2:2" ht="15.75" customHeight="1" x14ac:dyDescent="0.35">
      <c r="B775" s="7"/>
    </row>
    <row r="776" spans="2:2" ht="15.75" customHeight="1" x14ac:dyDescent="0.35">
      <c r="B776" s="7"/>
    </row>
    <row r="777" spans="2:2" ht="15.75" customHeight="1" x14ac:dyDescent="0.35">
      <c r="B777" s="7"/>
    </row>
    <row r="778" spans="2:2" ht="15.75" customHeight="1" x14ac:dyDescent="0.35">
      <c r="B778" s="7"/>
    </row>
    <row r="779" spans="2:2" ht="15.75" customHeight="1" x14ac:dyDescent="0.35">
      <c r="B779" s="7"/>
    </row>
    <row r="780" spans="2:2" ht="15.75" customHeight="1" x14ac:dyDescent="0.35">
      <c r="B780" s="7"/>
    </row>
    <row r="781" spans="2:2" ht="15.75" customHeight="1" x14ac:dyDescent="0.35">
      <c r="B781" s="7"/>
    </row>
    <row r="782" spans="2:2" ht="15.75" customHeight="1" x14ac:dyDescent="0.35">
      <c r="B782" s="7"/>
    </row>
    <row r="783" spans="2:2" ht="15.75" customHeight="1" x14ac:dyDescent="0.35">
      <c r="B783" s="7"/>
    </row>
    <row r="784" spans="2:2" ht="15.75" customHeight="1" x14ac:dyDescent="0.35">
      <c r="B784" s="7"/>
    </row>
    <row r="785" spans="2:2" ht="15.75" customHeight="1" x14ac:dyDescent="0.35">
      <c r="B785" s="7"/>
    </row>
    <row r="786" spans="2:2" ht="15.75" customHeight="1" x14ac:dyDescent="0.35">
      <c r="B786" s="7"/>
    </row>
    <row r="787" spans="2:2" ht="15.75" customHeight="1" x14ac:dyDescent="0.35">
      <c r="B787" s="7"/>
    </row>
    <row r="788" spans="2:2" ht="15.75" customHeight="1" x14ac:dyDescent="0.35">
      <c r="B788" s="7"/>
    </row>
    <row r="789" spans="2:2" ht="15.75" customHeight="1" x14ac:dyDescent="0.35">
      <c r="B789" s="7"/>
    </row>
    <row r="790" spans="2:2" ht="15.75" customHeight="1" x14ac:dyDescent="0.35">
      <c r="B790" s="7"/>
    </row>
    <row r="791" spans="2:2" ht="15.75" customHeight="1" x14ac:dyDescent="0.35">
      <c r="B791" s="7"/>
    </row>
    <row r="792" spans="2:2" ht="15.75" customHeight="1" x14ac:dyDescent="0.35">
      <c r="B792" s="7"/>
    </row>
    <row r="793" spans="2:2" ht="15.75" customHeight="1" x14ac:dyDescent="0.35">
      <c r="B793" s="7"/>
    </row>
    <row r="794" spans="2:2" ht="15.75" customHeight="1" x14ac:dyDescent="0.35">
      <c r="B794" s="7"/>
    </row>
    <row r="795" spans="2:2" ht="15.75" customHeight="1" x14ac:dyDescent="0.35">
      <c r="B795" s="7"/>
    </row>
    <row r="796" spans="2:2" ht="15.75" customHeight="1" x14ac:dyDescent="0.35">
      <c r="B796" s="7"/>
    </row>
    <row r="797" spans="2:2" ht="15.75" customHeight="1" x14ac:dyDescent="0.35">
      <c r="B797" s="7"/>
    </row>
    <row r="798" spans="2:2" ht="15.75" customHeight="1" x14ac:dyDescent="0.35">
      <c r="B798" s="7"/>
    </row>
    <row r="799" spans="2:2" ht="15.75" customHeight="1" x14ac:dyDescent="0.35">
      <c r="B799" s="7"/>
    </row>
    <row r="800" spans="2:2" ht="15.75" customHeight="1" x14ac:dyDescent="0.35">
      <c r="B800" s="7"/>
    </row>
    <row r="801" spans="2:2" ht="15.75" customHeight="1" x14ac:dyDescent="0.35">
      <c r="B801" s="7"/>
    </row>
    <row r="802" spans="2:2" ht="15.75" customHeight="1" x14ac:dyDescent="0.35">
      <c r="B802" s="7"/>
    </row>
    <row r="803" spans="2:2" ht="15.75" customHeight="1" x14ac:dyDescent="0.35">
      <c r="B803" s="7"/>
    </row>
    <row r="804" spans="2:2" ht="15.75" customHeight="1" x14ac:dyDescent="0.35">
      <c r="B804" s="7"/>
    </row>
    <row r="805" spans="2:2" ht="15.75" customHeight="1" x14ac:dyDescent="0.35">
      <c r="B805" s="7"/>
    </row>
    <row r="806" spans="2:2" ht="15.75" customHeight="1" x14ac:dyDescent="0.35">
      <c r="B806" s="7"/>
    </row>
    <row r="807" spans="2:2" ht="15.75" customHeight="1" x14ac:dyDescent="0.35">
      <c r="B807" s="7"/>
    </row>
    <row r="808" spans="2:2" ht="15.75" customHeight="1" x14ac:dyDescent="0.35">
      <c r="B808" s="7"/>
    </row>
    <row r="809" spans="2:2" ht="15.75" customHeight="1" x14ac:dyDescent="0.35">
      <c r="B809" s="7"/>
    </row>
    <row r="810" spans="2:2" ht="15.75" customHeight="1" x14ac:dyDescent="0.35">
      <c r="B810" s="7"/>
    </row>
    <row r="811" spans="2:2" ht="15.75" customHeight="1" x14ac:dyDescent="0.35">
      <c r="B811" s="7"/>
    </row>
    <row r="812" spans="2:2" ht="15.75" customHeight="1" x14ac:dyDescent="0.35">
      <c r="B812" s="7"/>
    </row>
    <row r="813" spans="2:2" ht="15.75" customHeight="1" x14ac:dyDescent="0.35">
      <c r="B813" s="7"/>
    </row>
    <row r="814" spans="2:2" ht="15.75" customHeight="1" x14ac:dyDescent="0.35">
      <c r="B814" s="7"/>
    </row>
    <row r="815" spans="2:2" ht="15.75" customHeight="1" x14ac:dyDescent="0.35">
      <c r="B815" s="7"/>
    </row>
    <row r="816" spans="2:2" ht="15.75" customHeight="1" x14ac:dyDescent="0.35">
      <c r="B816" s="7"/>
    </row>
    <row r="817" spans="2:2" ht="15.75" customHeight="1" x14ac:dyDescent="0.35">
      <c r="B817" s="7"/>
    </row>
    <row r="818" spans="2:2" ht="15.75" customHeight="1" x14ac:dyDescent="0.35">
      <c r="B818" s="7"/>
    </row>
    <row r="819" spans="2:2" ht="15.75" customHeight="1" x14ac:dyDescent="0.35">
      <c r="B819" s="7"/>
    </row>
    <row r="820" spans="2:2" ht="15.75" customHeight="1" x14ac:dyDescent="0.35">
      <c r="B820" s="7"/>
    </row>
    <row r="821" spans="2:2" ht="15.75" customHeight="1" x14ac:dyDescent="0.35">
      <c r="B821" s="7"/>
    </row>
    <row r="822" spans="2:2" ht="15.75" customHeight="1" x14ac:dyDescent="0.35">
      <c r="B822" s="7"/>
    </row>
    <row r="823" spans="2:2" ht="15.75" customHeight="1" x14ac:dyDescent="0.35">
      <c r="B823" s="7"/>
    </row>
    <row r="824" spans="2:2" ht="15.75" customHeight="1" x14ac:dyDescent="0.35">
      <c r="B824" s="7"/>
    </row>
    <row r="825" spans="2:2" ht="15.75" customHeight="1" x14ac:dyDescent="0.35">
      <c r="B825" s="7"/>
    </row>
    <row r="826" spans="2:2" ht="15.75" customHeight="1" x14ac:dyDescent="0.35">
      <c r="B826" s="7"/>
    </row>
    <row r="827" spans="2:2" ht="15.75" customHeight="1" x14ac:dyDescent="0.35">
      <c r="B827" s="7"/>
    </row>
    <row r="828" spans="2:2" ht="15.75" customHeight="1" x14ac:dyDescent="0.35">
      <c r="B828" s="7"/>
    </row>
    <row r="829" spans="2:2" ht="15.75" customHeight="1" x14ac:dyDescent="0.35">
      <c r="B829" s="7"/>
    </row>
    <row r="830" spans="2:2" ht="15.75" customHeight="1" x14ac:dyDescent="0.35">
      <c r="B830" s="7"/>
    </row>
    <row r="831" spans="2:2" ht="15.75" customHeight="1" x14ac:dyDescent="0.35">
      <c r="B831" s="7"/>
    </row>
    <row r="832" spans="2:2" ht="15.75" customHeight="1" x14ac:dyDescent="0.35">
      <c r="B832" s="7"/>
    </row>
    <row r="833" spans="2:2" ht="15.75" customHeight="1" x14ac:dyDescent="0.35">
      <c r="B833" s="7"/>
    </row>
    <row r="834" spans="2:2" ht="15.75" customHeight="1" x14ac:dyDescent="0.35">
      <c r="B834" s="7"/>
    </row>
    <row r="835" spans="2:2" ht="15.75" customHeight="1" x14ac:dyDescent="0.35">
      <c r="B835" s="7"/>
    </row>
    <row r="836" spans="2:2" ht="15.75" customHeight="1" x14ac:dyDescent="0.35">
      <c r="B836" s="7"/>
    </row>
    <row r="837" spans="2:2" ht="15.75" customHeight="1" x14ac:dyDescent="0.35">
      <c r="B837" s="7"/>
    </row>
    <row r="838" spans="2:2" ht="15.75" customHeight="1" x14ac:dyDescent="0.35">
      <c r="B838" s="7"/>
    </row>
    <row r="839" spans="2:2" ht="15.75" customHeight="1" x14ac:dyDescent="0.35">
      <c r="B839" s="7"/>
    </row>
    <row r="840" spans="2:2" ht="15.75" customHeight="1" x14ac:dyDescent="0.35">
      <c r="B840" s="7"/>
    </row>
    <row r="841" spans="2:2" ht="15.75" customHeight="1" x14ac:dyDescent="0.35">
      <c r="B841" s="7"/>
    </row>
    <row r="842" spans="2:2" ht="15.75" customHeight="1" x14ac:dyDescent="0.35">
      <c r="B842" s="7"/>
    </row>
    <row r="843" spans="2:2" ht="15.75" customHeight="1" x14ac:dyDescent="0.35">
      <c r="B843" s="7"/>
    </row>
    <row r="844" spans="2:2" ht="15.75" customHeight="1" x14ac:dyDescent="0.35">
      <c r="B844" s="7"/>
    </row>
    <row r="845" spans="2:2" ht="15.75" customHeight="1" x14ac:dyDescent="0.35">
      <c r="B845" s="7"/>
    </row>
    <row r="846" spans="2:2" ht="15.75" customHeight="1" x14ac:dyDescent="0.35">
      <c r="B846" s="7"/>
    </row>
    <row r="847" spans="2:2" ht="15.75" customHeight="1" x14ac:dyDescent="0.35">
      <c r="B847" s="7"/>
    </row>
    <row r="848" spans="2:2" ht="15.75" customHeight="1" x14ac:dyDescent="0.35">
      <c r="B848" s="7"/>
    </row>
    <row r="849" spans="2:2" ht="15.75" customHeight="1" x14ac:dyDescent="0.35">
      <c r="B849" s="7"/>
    </row>
    <row r="850" spans="2:2" ht="15.75" customHeight="1" x14ac:dyDescent="0.35">
      <c r="B850" s="7"/>
    </row>
    <row r="851" spans="2:2" ht="15.75" customHeight="1" x14ac:dyDescent="0.35">
      <c r="B851" s="7"/>
    </row>
    <row r="852" spans="2:2" ht="15.75" customHeight="1" x14ac:dyDescent="0.35">
      <c r="B852" s="7"/>
    </row>
    <row r="853" spans="2:2" ht="15.75" customHeight="1" x14ac:dyDescent="0.35">
      <c r="B853" s="7"/>
    </row>
    <row r="854" spans="2:2" ht="15.75" customHeight="1" x14ac:dyDescent="0.35">
      <c r="B854" s="7"/>
    </row>
    <row r="855" spans="2:2" ht="15.75" customHeight="1" x14ac:dyDescent="0.35">
      <c r="B855" s="7"/>
    </row>
    <row r="856" spans="2:2" ht="15.75" customHeight="1" x14ac:dyDescent="0.35">
      <c r="B856" s="7"/>
    </row>
    <row r="857" spans="2:2" ht="15.75" customHeight="1" x14ac:dyDescent="0.35">
      <c r="B857" s="7"/>
    </row>
    <row r="858" spans="2:2" ht="15.75" customHeight="1" x14ac:dyDescent="0.35">
      <c r="B858" s="7"/>
    </row>
    <row r="859" spans="2:2" ht="15.75" customHeight="1" x14ac:dyDescent="0.35">
      <c r="B859" s="7"/>
    </row>
    <row r="860" spans="2:2" ht="15.75" customHeight="1" x14ac:dyDescent="0.35">
      <c r="B860" s="7"/>
    </row>
    <row r="861" spans="2:2" ht="15.75" customHeight="1" x14ac:dyDescent="0.35">
      <c r="B861" s="7"/>
    </row>
    <row r="862" spans="2:2" ht="15.75" customHeight="1" x14ac:dyDescent="0.35">
      <c r="B862" s="7"/>
    </row>
    <row r="863" spans="2:2" ht="15.75" customHeight="1" x14ac:dyDescent="0.35">
      <c r="B863" s="7"/>
    </row>
    <row r="864" spans="2:2" ht="15.75" customHeight="1" x14ac:dyDescent="0.35">
      <c r="B864" s="7"/>
    </row>
    <row r="865" spans="2:2" ht="15.75" customHeight="1" x14ac:dyDescent="0.35">
      <c r="B865" s="7"/>
    </row>
    <row r="866" spans="2:2" ht="15.75" customHeight="1" x14ac:dyDescent="0.35">
      <c r="B866" s="7"/>
    </row>
    <row r="867" spans="2:2" ht="15.75" customHeight="1" x14ac:dyDescent="0.35">
      <c r="B867" s="7"/>
    </row>
    <row r="868" spans="2:2" ht="15.75" customHeight="1" x14ac:dyDescent="0.35">
      <c r="B868" s="7"/>
    </row>
    <row r="869" spans="2:2" ht="15.75" customHeight="1" x14ac:dyDescent="0.35">
      <c r="B869" s="7"/>
    </row>
    <row r="870" spans="2:2" ht="15.75" customHeight="1" x14ac:dyDescent="0.35">
      <c r="B870" s="7"/>
    </row>
    <row r="871" spans="2:2" ht="15.75" customHeight="1" x14ac:dyDescent="0.35">
      <c r="B871" s="7"/>
    </row>
    <row r="872" spans="2:2" ht="15.75" customHeight="1" x14ac:dyDescent="0.35">
      <c r="B872" s="7"/>
    </row>
    <row r="873" spans="2:2" ht="15.75" customHeight="1" x14ac:dyDescent="0.35">
      <c r="B873" s="7"/>
    </row>
    <row r="874" spans="2:2" ht="15.75" customHeight="1" x14ac:dyDescent="0.35">
      <c r="B874" s="7"/>
    </row>
    <row r="875" spans="2:2" ht="15.75" customHeight="1" x14ac:dyDescent="0.35">
      <c r="B875" s="7"/>
    </row>
    <row r="876" spans="2:2" ht="15.75" customHeight="1" x14ac:dyDescent="0.35">
      <c r="B876" s="7"/>
    </row>
    <row r="877" spans="2:2" ht="15.75" customHeight="1" x14ac:dyDescent="0.35">
      <c r="B877" s="7"/>
    </row>
    <row r="878" spans="2:2" ht="15.75" customHeight="1" x14ac:dyDescent="0.35">
      <c r="B878" s="7"/>
    </row>
    <row r="879" spans="2:2" ht="15.75" customHeight="1" x14ac:dyDescent="0.35">
      <c r="B879" s="7"/>
    </row>
    <row r="880" spans="2:2" ht="15.75" customHeight="1" x14ac:dyDescent="0.35">
      <c r="B880" s="7"/>
    </row>
    <row r="881" spans="2:2" ht="15.75" customHeight="1" x14ac:dyDescent="0.35">
      <c r="B881" s="7"/>
    </row>
    <row r="882" spans="2:2" ht="15.75" customHeight="1" x14ac:dyDescent="0.35">
      <c r="B882" s="7"/>
    </row>
    <row r="883" spans="2:2" ht="15.75" customHeight="1" x14ac:dyDescent="0.35">
      <c r="B883" s="7"/>
    </row>
    <row r="884" spans="2:2" ht="15.75" customHeight="1" x14ac:dyDescent="0.35">
      <c r="B884" s="7"/>
    </row>
    <row r="885" spans="2:2" ht="15.75" customHeight="1" x14ac:dyDescent="0.35">
      <c r="B885" s="7"/>
    </row>
    <row r="886" spans="2:2" ht="15.75" customHeight="1" x14ac:dyDescent="0.35">
      <c r="B886" s="7"/>
    </row>
    <row r="887" spans="2:2" ht="15.75" customHeight="1" x14ac:dyDescent="0.35">
      <c r="B887" s="7"/>
    </row>
    <row r="888" spans="2:2" ht="15.75" customHeight="1" x14ac:dyDescent="0.35">
      <c r="B888" s="7"/>
    </row>
    <row r="889" spans="2:2" ht="15.75" customHeight="1" x14ac:dyDescent="0.35">
      <c r="B889" s="7"/>
    </row>
    <row r="890" spans="2:2" ht="15.75" customHeight="1" x14ac:dyDescent="0.35">
      <c r="B890" s="7"/>
    </row>
    <row r="891" spans="2:2" ht="15.75" customHeight="1" x14ac:dyDescent="0.35">
      <c r="B891" s="7"/>
    </row>
    <row r="892" spans="2:2" ht="15.75" customHeight="1" x14ac:dyDescent="0.35">
      <c r="B892" s="7"/>
    </row>
    <row r="893" spans="2:2" ht="15.75" customHeight="1" x14ac:dyDescent="0.35">
      <c r="B893" s="7"/>
    </row>
    <row r="894" spans="2:2" ht="15.75" customHeight="1" x14ac:dyDescent="0.35">
      <c r="B894" s="7"/>
    </row>
    <row r="895" spans="2:2" ht="15.75" customHeight="1" x14ac:dyDescent="0.35">
      <c r="B895" s="7"/>
    </row>
    <row r="896" spans="2:2" ht="15.75" customHeight="1" x14ac:dyDescent="0.35">
      <c r="B896" s="7"/>
    </row>
    <row r="897" spans="2:2" ht="15.75" customHeight="1" x14ac:dyDescent="0.35">
      <c r="B897" s="7"/>
    </row>
    <row r="898" spans="2:2" ht="15.75" customHeight="1" x14ac:dyDescent="0.35">
      <c r="B898" s="7"/>
    </row>
    <row r="899" spans="2:2" ht="15.75" customHeight="1" x14ac:dyDescent="0.35">
      <c r="B899" s="7"/>
    </row>
    <row r="900" spans="2:2" ht="15.75" customHeight="1" x14ac:dyDescent="0.35">
      <c r="B900" s="7"/>
    </row>
    <row r="901" spans="2:2" ht="15.75" customHeight="1" x14ac:dyDescent="0.35">
      <c r="B901" s="7"/>
    </row>
    <row r="902" spans="2:2" ht="15.75" customHeight="1" x14ac:dyDescent="0.35">
      <c r="B902" s="7"/>
    </row>
    <row r="903" spans="2:2" ht="15.75" customHeight="1" x14ac:dyDescent="0.35">
      <c r="B903" s="7"/>
    </row>
    <row r="904" spans="2:2" ht="15.75" customHeight="1" x14ac:dyDescent="0.35">
      <c r="B904" s="7"/>
    </row>
    <row r="905" spans="2:2" ht="15.75" customHeight="1" x14ac:dyDescent="0.35">
      <c r="B905" s="7"/>
    </row>
    <row r="906" spans="2:2" ht="15.75" customHeight="1" x14ac:dyDescent="0.35">
      <c r="B906" s="7"/>
    </row>
    <row r="907" spans="2:2" ht="15.75" customHeight="1" x14ac:dyDescent="0.35">
      <c r="B907" s="7"/>
    </row>
    <row r="908" spans="2:2" ht="15.75" customHeight="1" x14ac:dyDescent="0.35">
      <c r="B908" s="7"/>
    </row>
    <row r="909" spans="2:2" ht="15.75" customHeight="1" x14ac:dyDescent="0.35">
      <c r="B909" s="7"/>
    </row>
    <row r="910" spans="2:2" ht="15.75" customHeight="1" x14ac:dyDescent="0.35">
      <c r="B910" s="7"/>
    </row>
    <row r="911" spans="2:2" ht="15.75" customHeight="1" x14ac:dyDescent="0.35">
      <c r="B911" s="7"/>
    </row>
    <row r="912" spans="2:2" ht="15.75" customHeight="1" x14ac:dyDescent="0.35">
      <c r="B912" s="7"/>
    </row>
    <row r="913" spans="2:2" ht="15.75" customHeight="1" x14ac:dyDescent="0.35">
      <c r="B913" s="7"/>
    </row>
    <row r="914" spans="2:2" ht="15.75" customHeight="1" x14ac:dyDescent="0.35">
      <c r="B914" s="7"/>
    </row>
    <row r="915" spans="2:2" ht="15.75" customHeight="1" x14ac:dyDescent="0.35">
      <c r="B915" s="7"/>
    </row>
    <row r="916" spans="2:2" ht="15.75" customHeight="1" x14ac:dyDescent="0.35">
      <c r="B916" s="7"/>
    </row>
    <row r="917" spans="2:2" ht="15.75" customHeight="1" x14ac:dyDescent="0.35">
      <c r="B917" s="7"/>
    </row>
    <row r="918" spans="2:2" ht="15.75" customHeight="1" x14ac:dyDescent="0.35">
      <c r="B918" s="7"/>
    </row>
    <row r="919" spans="2:2" ht="15.75" customHeight="1" x14ac:dyDescent="0.35">
      <c r="B919" s="7"/>
    </row>
    <row r="920" spans="2:2" ht="15.75" customHeight="1" x14ac:dyDescent="0.35">
      <c r="B920" s="7"/>
    </row>
    <row r="921" spans="2:2" ht="15.75" customHeight="1" x14ac:dyDescent="0.35">
      <c r="B921" s="7"/>
    </row>
    <row r="922" spans="2:2" ht="15.75" customHeight="1" x14ac:dyDescent="0.35">
      <c r="B922" s="7"/>
    </row>
    <row r="923" spans="2:2" ht="15.75" customHeight="1" x14ac:dyDescent="0.35">
      <c r="B923" s="7"/>
    </row>
    <row r="924" spans="2:2" ht="15.75" customHeight="1" x14ac:dyDescent="0.35">
      <c r="B924" s="7"/>
    </row>
    <row r="925" spans="2:2" ht="15.75" customHeight="1" x14ac:dyDescent="0.35">
      <c r="B925" s="7"/>
    </row>
    <row r="926" spans="2:2" ht="15.75" customHeight="1" x14ac:dyDescent="0.35">
      <c r="B926" s="7"/>
    </row>
    <row r="927" spans="2:2" ht="15.75" customHeight="1" x14ac:dyDescent="0.35">
      <c r="B927" s="7"/>
    </row>
    <row r="928" spans="2:2" ht="15.75" customHeight="1" x14ac:dyDescent="0.35">
      <c r="B928" s="7"/>
    </row>
    <row r="929" spans="2:2" ht="15.75" customHeight="1" x14ac:dyDescent="0.35">
      <c r="B929" s="7"/>
    </row>
    <row r="930" spans="2:2" ht="15.75" customHeight="1" x14ac:dyDescent="0.35">
      <c r="B930" s="7"/>
    </row>
    <row r="931" spans="2:2" ht="15.75" customHeight="1" x14ac:dyDescent="0.35">
      <c r="B931" s="7"/>
    </row>
    <row r="932" spans="2:2" ht="15.75" customHeight="1" x14ac:dyDescent="0.35">
      <c r="B932" s="7"/>
    </row>
    <row r="933" spans="2:2" ht="15.75" customHeight="1" x14ac:dyDescent="0.35">
      <c r="B933" s="7"/>
    </row>
    <row r="934" spans="2:2" ht="15.75" customHeight="1" x14ac:dyDescent="0.35">
      <c r="B934" s="7"/>
    </row>
    <row r="935" spans="2:2" ht="15.75" customHeight="1" x14ac:dyDescent="0.35">
      <c r="B935" s="7"/>
    </row>
    <row r="936" spans="2:2" ht="15.75" customHeight="1" x14ac:dyDescent="0.35">
      <c r="B936" s="7"/>
    </row>
    <row r="937" spans="2:2" ht="15.75" customHeight="1" x14ac:dyDescent="0.35">
      <c r="B937" s="7"/>
    </row>
    <row r="938" spans="2:2" ht="15.75" customHeight="1" x14ac:dyDescent="0.35">
      <c r="B938" s="7"/>
    </row>
    <row r="939" spans="2:2" ht="15.75" customHeight="1" x14ac:dyDescent="0.35">
      <c r="B939" s="7"/>
    </row>
    <row r="940" spans="2:2" ht="15.75" customHeight="1" x14ac:dyDescent="0.35">
      <c r="B940" s="7"/>
    </row>
    <row r="941" spans="2:2" ht="15.75" customHeight="1" x14ac:dyDescent="0.35">
      <c r="B941" s="7"/>
    </row>
    <row r="942" spans="2:2" ht="15.75" customHeight="1" x14ac:dyDescent="0.35">
      <c r="B942" s="7"/>
    </row>
    <row r="943" spans="2:2" ht="15.75" customHeight="1" x14ac:dyDescent="0.35">
      <c r="B943" s="7"/>
    </row>
    <row r="944" spans="2:2" ht="15.75" customHeight="1" x14ac:dyDescent="0.35">
      <c r="B944" s="7"/>
    </row>
    <row r="945" spans="2:2" ht="15.75" customHeight="1" x14ac:dyDescent="0.35">
      <c r="B945" s="7"/>
    </row>
    <row r="946" spans="2:2" ht="15.75" customHeight="1" x14ac:dyDescent="0.35">
      <c r="B946" s="7"/>
    </row>
    <row r="947" spans="2:2" ht="15.75" customHeight="1" x14ac:dyDescent="0.35">
      <c r="B947" s="7"/>
    </row>
    <row r="948" spans="2:2" ht="15.75" customHeight="1" x14ac:dyDescent="0.35">
      <c r="B948" s="7"/>
    </row>
    <row r="949" spans="2:2" ht="15.75" customHeight="1" x14ac:dyDescent="0.35">
      <c r="B949" s="7"/>
    </row>
    <row r="950" spans="2:2" ht="15.75" customHeight="1" x14ac:dyDescent="0.35">
      <c r="B950" s="7"/>
    </row>
    <row r="951" spans="2:2" ht="15.75" customHeight="1" x14ac:dyDescent="0.35">
      <c r="B951" s="7"/>
    </row>
    <row r="952" spans="2:2" ht="15.75" customHeight="1" x14ac:dyDescent="0.35">
      <c r="B952" s="7"/>
    </row>
    <row r="953" spans="2:2" ht="15.75" customHeight="1" x14ac:dyDescent="0.35">
      <c r="B953" s="7"/>
    </row>
    <row r="954" spans="2:2" ht="15.75" customHeight="1" x14ac:dyDescent="0.35">
      <c r="B954" s="7"/>
    </row>
    <row r="955" spans="2:2" ht="15.75" customHeight="1" x14ac:dyDescent="0.35">
      <c r="B955" s="7"/>
    </row>
    <row r="956" spans="2:2" ht="15.75" customHeight="1" x14ac:dyDescent="0.35">
      <c r="B956" s="7"/>
    </row>
    <row r="957" spans="2:2" ht="15.75" customHeight="1" x14ac:dyDescent="0.35">
      <c r="B957" s="7"/>
    </row>
    <row r="958" spans="2:2" ht="15.75" customHeight="1" x14ac:dyDescent="0.35">
      <c r="B958" s="7"/>
    </row>
    <row r="959" spans="2:2" ht="15.75" customHeight="1" x14ac:dyDescent="0.35">
      <c r="B959" s="7"/>
    </row>
    <row r="960" spans="2:2" ht="15.75" customHeight="1" x14ac:dyDescent="0.35">
      <c r="B960" s="7"/>
    </row>
    <row r="961" spans="2:2" ht="15.75" customHeight="1" x14ac:dyDescent="0.35">
      <c r="B961" s="7"/>
    </row>
    <row r="962" spans="2:2" ht="15.75" customHeight="1" x14ac:dyDescent="0.35">
      <c r="B962" s="7"/>
    </row>
    <row r="963" spans="2:2" ht="15.75" customHeight="1" x14ac:dyDescent="0.35">
      <c r="B963" s="7"/>
    </row>
    <row r="964" spans="2:2" ht="15.75" customHeight="1" x14ac:dyDescent="0.35">
      <c r="B964" s="7"/>
    </row>
    <row r="965" spans="2:2" ht="15.75" customHeight="1" x14ac:dyDescent="0.35">
      <c r="B965" s="7"/>
    </row>
    <row r="966" spans="2:2" ht="15.75" customHeight="1" x14ac:dyDescent="0.35">
      <c r="B966" s="7"/>
    </row>
    <row r="967" spans="2:2" ht="15.75" customHeight="1" x14ac:dyDescent="0.35">
      <c r="B967" s="7"/>
    </row>
    <row r="968" spans="2:2" ht="15.75" customHeight="1" x14ac:dyDescent="0.35">
      <c r="B968" s="7"/>
    </row>
    <row r="969" spans="2:2" ht="15.75" customHeight="1" x14ac:dyDescent="0.35">
      <c r="B969" s="7"/>
    </row>
    <row r="970" spans="2:2" ht="15.75" customHeight="1" x14ac:dyDescent="0.35">
      <c r="B970" s="7"/>
    </row>
    <row r="971" spans="2:2" ht="15.75" customHeight="1" x14ac:dyDescent="0.35">
      <c r="B971" s="7"/>
    </row>
    <row r="972" spans="2:2" ht="15.75" customHeight="1" x14ac:dyDescent="0.35">
      <c r="B972" s="7"/>
    </row>
    <row r="973" spans="2:2" ht="15.75" customHeight="1" x14ac:dyDescent="0.35">
      <c r="B973" s="7"/>
    </row>
    <row r="974" spans="2:2" ht="15.75" customHeight="1" x14ac:dyDescent="0.35">
      <c r="B974" s="7"/>
    </row>
    <row r="975" spans="2:2" ht="15.75" customHeight="1" x14ac:dyDescent="0.35">
      <c r="B975" s="7"/>
    </row>
    <row r="976" spans="2:2" ht="15.75" customHeight="1" x14ac:dyDescent="0.35">
      <c r="B976" s="7"/>
    </row>
    <row r="977" spans="2:2" ht="15.75" customHeight="1" x14ac:dyDescent="0.35">
      <c r="B977" s="7"/>
    </row>
    <row r="978" spans="2:2" ht="15.75" customHeight="1" x14ac:dyDescent="0.35">
      <c r="B978" s="7"/>
    </row>
    <row r="979" spans="2:2" ht="15.75" customHeight="1" x14ac:dyDescent="0.35">
      <c r="B979" s="7"/>
    </row>
    <row r="980" spans="2:2" ht="15.75" customHeight="1" x14ac:dyDescent="0.35">
      <c r="B980" s="7"/>
    </row>
    <row r="981" spans="2:2" ht="15.75" customHeight="1" x14ac:dyDescent="0.35">
      <c r="B981" s="7"/>
    </row>
    <row r="982" spans="2:2" ht="15.75" customHeight="1" x14ac:dyDescent="0.35">
      <c r="B982" s="7"/>
    </row>
    <row r="983" spans="2:2" ht="15.75" customHeight="1" x14ac:dyDescent="0.35">
      <c r="B983" s="7"/>
    </row>
    <row r="984" spans="2:2" ht="15.75" customHeight="1" x14ac:dyDescent="0.35">
      <c r="B984" s="7"/>
    </row>
    <row r="985" spans="2:2" ht="15.75" customHeight="1" x14ac:dyDescent="0.35">
      <c r="B985" s="7"/>
    </row>
    <row r="986" spans="2:2" ht="15.75" customHeight="1" x14ac:dyDescent="0.35">
      <c r="B986" s="7"/>
    </row>
    <row r="987" spans="2:2" ht="15.75" customHeight="1" x14ac:dyDescent="0.35">
      <c r="B987" s="7"/>
    </row>
    <row r="988" spans="2:2" ht="15.75" customHeight="1" x14ac:dyDescent="0.35">
      <c r="B988" s="7"/>
    </row>
    <row r="989" spans="2:2" ht="15.75" customHeight="1" x14ac:dyDescent="0.35">
      <c r="B989" s="7"/>
    </row>
    <row r="990" spans="2:2" ht="15.75" customHeight="1" x14ac:dyDescent="0.35">
      <c r="B990" s="7"/>
    </row>
    <row r="991" spans="2:2" ht="15.75" customHeight="1" x14ac:dyDescent="0.35">
      <c r="B991" s="7"/>
    </row>
    <row r="992" spans="2:2" ht="15.75" customHeight="1" x14ac:dyDescent="0.35">
      <c r="B992" s="7"/>
    </row>
    <row r="993" spans="2:2" ht="15.75" customHeight="1" x14ac:dyDescent="0.35">
      <c r="B993" s="7"/>
    </row>
    <row r="994" spans="2:2" ht="15.75" customHeight="1" x14ac:dyDescent="0.35">
      <c r="B994" s="7"/>
    </row>
    <row r="995" spans="2:2" ht="15.75" customHeight="1" x14ac:dyDescent="0.35">
      <c r="B995" s="7"/>
    </row>
    <row r="996" spans="2:2" ht="15.75" customHeight="1" x14ac:dyDescent="0.35">
      <c r="B996" s="7"/>
    </row>
    <row r="997" spans="2:2" ht="15.75" customHeight="1" x14ac:dyDescent="0.35">
      <c r="B997" s="7"/>
    </row>
    <row r="998" spans="2:2" ht="15.75" customHeight="1" x14ac:dyDescent="0.35">
      <c r="B998" s="7"/>
    </row>
    <row r="999" spans="2:2" ht="15.75" customHeight="1" x14ac:dyDescent="0.35">
      <c r="B999" s="7"/>
    </row>
    <row r="1000" spans="2:2" ht="15.75" customHeight="1" x14ac:dyDescent="0.35">
      <c r="B1000" s="7"/>
    </row>
  </sheetData>
  <mergeCells count="213">
    <mergeCell ref="A1:H1"/>
    <mergeCell ref="A2:H2"/>
    <mergeCell ref="A3:H3"/>
    <mergeCell ref="H159:H160"/>
    <mergeCell ref="G159:G160"/>
    <mergeCell ref="E159:E160"/>
    <mergeCell ref="D159:D160"/>
    <mergeCell ref="C159:C160"/>
    <mergeCell ref="B159:B160"/>
    <mergeCell ref="A159:A160"/>
    <mergeCell ref="H155:H156"/>
    <mergeCell ref="G155:G156"/>
    <mergeCell ref="H41:H42"/>
    <mergeCell ref="G41:G42"/>
    <mergeCell ref="E41:E42"/>
    <mergeCell ref="D41:D42"/>
    <mergeCell ref="C41:C42"/>
    <mergeCell ref="B41:B42"/>
    <mergeCell ref="A41:A42"/>
    <mergeCell ref="H63:H64"/>
    <mergeCell ref="G63:G64"/>
    <mergeCell ref="E63:E64"/>
    <mergeCell ref="D63:D64"/>
    <mergeCell ref="C63:C64"/>
    <mergeCell ref="B63:B64"/>
    <mergeCell ref="A63:A64"/>
    <mergeCell ref="H175:H176"/>
    <mergeCell ref="G175:G176"/>
    <mergeCell ref="E175:E176"/>
    <mergeCell ref="D175:D176"/>
    <mergeCell ref="C175:C176"/>
    <mergeCell ref="B175:B176"/>
    <mergeCell ref="A175:A176"/>
    <mergeCell ref="H173:H174"/>
    <mergeCell ref="G173:G174"/>
    <mergeCell ref="E173:E174"/>
    <mergeCell ref="D173:D174"/>
    <mergeCell ref="C173:C174"/>
    <mergeCell ref="B173:B174"/>
    <mergeCell ref="A173:A174"/>
    <mergeCell ref="H168:H169"/>
    <mergeCell ref="G168:G169"/>
    <mergeCell ref="E168:E169"/>
    <mergeCell ref="D168:D169"/>
    <mergeCell ref="C168:C169"/>
    <mergeCell ref="B168:B169"/>
    <mergeCell ref="A168:A169"/>
    <mergeCell ref="H166:H167"/>
    <mergeCell ref="G166:G167"/>
    <mergeCell ref="E166:E167"/>
    <mergeCell ref="D166:D167"/>
    <mergeCell ref="C166:C167"/>
    <mergeCell ref="B166:B167"/>
    <mergeCell ref="A166:A167"/>
    <mergeCell ref="H164:H165"/>
    <mergeCell ref="G164:G165"/>
    <mergeCell ref="E164:E165"/>
    <mergeCell ref="D164:D165"/>
    <mergeCell ref="C164:C165"/>
    <mergeCell ref="B164:B165"/>
    <mergeCell ref="A164:A165"/>
    <mergeCell ref="H162:H163"/>
    <mergeCell ref="G162:G163"/>
    <mergeCell ref="E162:E163"/>
    <mergeCell ref="D162:D163"/>
    <mergeCell ref="C162:C163"/>
    <mergeCell ref="B162:B163"/>
    <mergeCell ref="A162:A163"/>
    <mergeCell ref="E155:E156"/>
    <mergeCell ref="D155:D156"/>
    <mergeCell ref="C155:C156"/>
    <mergeCell ref="B155:B156"/>
    <mergeCell ref="A155:A156"/>
    <mergeCell ref="H153:H154"/>
    <mergeCell ref="G153:G154"/>
    <mergeCell ref="E153:E154"/>
    <mergeCell ref="D153:D154"/>
    <mergeCell ref="C153:C154"/>
    <mergeCell ref="B153:B154"/>
    <mergeCell ref="A153:A154"/>
    <mergeCell ref="H151:H152"/>
    <mergeCell ref="G151:G152"/>
    <mergeCell ref="E151:E152"/>
    <mergeCell ref="D151:D152"/>
    <mergeCell ref="C151:C152"/>
    <mergeCell ref="B151:B152"/>
    <mergeCell ref="A151:A152"/>
    <mergeCell ref="H149:H150"/>
    <mergeCell ref="G149:G150"/>
    <mergeCell ref="E149:E150"/>
    <mergeCell ref="D149:D150"/>
    <mergeCell ref="C149:C150"/>
    <mergeCell ref="B149:B150"/>
    <mergeCell ref="A149:A150"/>
    <mergeCell ref="H139:H140"/>
    <mergeCell ref="G139:G140"/>
    <mergeCell ref="E139:E140"/>
    <mergeCell ref="D139:D140"/>
    <mergeCell ref="C139:C140"/>
    <mergeCell ref="B139:B140"/>
    <mergeCell ref="A139:A140"/>
    <mergeCell ref="H124:H125"/>
    <mergeCell ref="G124:G125"/>
    <mergeCell ref="E124:E125"/>
    <mergeCell ref="D124:D125"/>
    <mergeCell ref="C124:C125"/>
    <mergeCell ref="B124:B125"/>
    <mergeCell ref="A124:A125"/>
    <mergeCell ref="H120:H121"/>
    <mergeCell ref="G120:G121"/>
    <mergeCell ref="E120:E121"/>
    <mergeCell ref="D120:D121"/>
    <mergeCell ref="C120:C121"/>
    <mergeCell ref="B120:B121"/>
    <mergeCell ref="A120:A121"/>
    <mergeCell ref="H117:H118"/>
    <mergeCell ref="G117:G118"/>
    <mergeCell ref="E117:E118"/>
    <mergeCell ref="D117:D118"/>
    <mergeCell ref="C117:C118"/>
    <mergeCell ref="B117:B118"/>
    <mergeCell ref="A117:A118"/>
    <mergeCell ref="H115:H116"/>
    <mergeCell ref="G115:G116"/>
    <mergeCell ref="E115:E116"/>
    <mergeCell ref="D115:D116"/>
    <mergeCell ref="C115:C116"/>
    <mergeCell ref="B115:B116"/>
    <mergeCell ref="A115:A116"/>
    <mergeCell ref="H108:H109"/>
    <mergeCell ref="G108:G109"/>
    <mergeCell ref="E108:E109"/>
    <mergeCell ref="D108:D109"/>
    <mergeCell ref="C108:C109"/>
    <mergeCell ref="B108:B109"/>
    <mergeCell ref="A108:A109"/>
    <mergeCell ref="B91:B92"/>
    <mergeCell ref="A91:A92"/>
    <mergeCell ref="H89:H90"/>
    <mergeCell ref="G89:G90"/>
    <mergeCell ref="E89:E90"/>
    <mergeCell ref="D89:D90"/>
    <mergeCell ref="C89:C90"/>
    <mergeCell ref="B89:B90"/>
    <mergeCell ref="A89:A90"/>
    <mergeCell ref="H91:H92"/>
    <mergeCell ref="G91:G92"/>
    <mergeCell ref="E91:E92"/>
    <mergeCell ref="D91:D92"/>
    <mergeCell ref="C91:C92"/>
    <mergeCell ref="H87:H88"/>
    <mergeCell ref="G87:G88"/>
    <mergeCell ref="E87:E88"/>
    <mergeCell ref="D87:D88"/>
    <mergeCell ref="C87:C88"/>
    <mergeCell ref="B87:B88"/>
    <mergeCell ref="A87:A88"/>
    <mergeCell ref="H56:H57"/>
    <mergeCell ref="G56:G57"/>
    <mergeCell ref="E56:E57"/>
    <mergeCell ref="D56:D57"/>
    <mergeCell ref="C56:C57"/>
    <mergeCell ref="B56:B57"/>
    <mergeCell ref="A56:A57"/>
    <mergeCell ref="H50:H51"/>
    <mergeCell ref="G50:G51"/>
    <mergeCell ref="E50:E51"/>
    <mergeCell ref="D50:D51"/>
    <mergeCell ref="C50:C51"/>
    <mergeCell ref="B50:B51"/>
    <mergeCell ref="A50:A51"/>
    <mergeCell ref="H47:H48"/>
    <mergeCell ref="G47:G48"/>
    <mergeCell ref="E47:E48"/>
    <mergeCell ref="D47:D48"/>
    <mergeCell ref="C47:C48"/>
    <mergeCell ref="B47:B48"/>
    <mergeCell ref="A47:A48"/>
    <mergeCell ref="H45:H46"/>
    <mergeCell ref="G45:G46"/>
    <mergeCell ref="E45:E46"/>
    <mergeCell ref="D45:D46"/>
    <mergeCell ref="C45:C46"/>
    <mergeCell ref="B45:B46"/>
    <mergeCell ref="A45:A46"/>
    <mergeCell ref="H43:H44"/>
    <mergeCell ref="G43:G44"/>
    <mergeCell ref="E43:E44"/>
    <mergeCell ref="D43:D44"/>
    <mergeCell ref="C43:C44"/>
    <mergeCell ref="B43:B44"/>
    <mergeCell ref="A43:A44"/>
    <mergeCell ref="H10:H11"/>
    <mergeCell ref="G10:G11"/>
    <mergeCell ref="E10:E11"/>
    <mergeCell ref="D10:D11"/>
    <mergeCell ref="C10:C11"/>
    <mergeCell ref="B10:B11"/>
    <mergeCell ref="A10:A11"/>
    <mergeCell ref="H14:H15"/>
    <mergeCell ref="G14:G15"/>
    <mergeCell ref="E14:E15"/>
    <mergeCell ref="D14:D15"/>
    <mergeCell ref="C14:C15"/>
    <mergeCell ref="B14:B15"/>
    <mergeCell ref="A14:A15"/>
    <mergeCell ref="H12:H13"/>
    <mergeCell ref="G12:G13"/>
    <mergeCell ref="E12:E13"/>
    <mergeCell ref="D12:D13"/>
    <mergeCell ref="C12:C13"/>
    <mergeCell ref="B12:B13"/>
    <mergeCell ref="A12:A13"/>
  </mergeCells>
  <printOptions gridLines="1"/>
  <pageMargins left="0.45" right="0.45" top="0.5" bottom="0.5" header="0" footer="0"/>
  <pageSetup scale="7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>
      <selection sqref="A1:B110"/>
    </sheetView>
  </sheetViews>
  <sheetFormatPr defaultColWidth="12.6640625" defaultRowHeight="15" customHeight="1" x14ac:dyDescent="0.3"/>
  <cols>
    <col min="1" max="1" width="41.33203125" customWidth="1"/>
    <col min="2" max="2" width="13" customWidth="1"/>
    <col min="3" max="3" width="10.5" customWidth="1"/>
    <col min="4" max="26" width="7.6640625" customWidth="1"/>
  </cols>
  <sheetData>
    <row r="1" spans="1:2" ht="18" x14ac:dyDescent="0.4">
      <c r="A1" s="38" t="s">
        <v>273</v>
      </c>
      <c r="B1" s="37"/>
    </row>
    <row r="2" spans="1:2" ht="18" x14ac:dyDescent="0.4">
      <c r="A2" s="38" t="s">
        <v>208</v>
      </c>
      <c r="B2" s="37"/>
    </row>
    <row r="3" spans="1:2" ht="14" x14ac:dyDescent="0.3">
      <c r="A3" s="39" t="s">
        <v>522</v>
      </c>
      <c r="B3" s="37"/>
    </row>
    <row r="4" spans="1:2" ht="14" x14ac:dyDescent="0.3"/>
    <row r="5" spans="1:2" ht="14" x14ac:dyDescent="0.3">
      <c r="A5" s="23"/>
      <c r="B5" s="33" t="s">
        <v>1</v>
      </c>
    </row>
    <row r="6" spans="1:2" ht="14" x14ac:dyDescent="0.3">
      <c r="A6" s="17" t="s">
        <v>5</v>
      </c>
      <c r="B6" s="18"/>
    </row>
    <row r="7" spans="1:2" ht="14" x14ac:dyDescent="0.3">
      <c r="A7" s="17" t="s">
        <v>289</v>
      </c>
      <c r="B7" s="18"/>
    </row>
    <row r="8" spans="1:2" ht="14" x14ac:dyDescent="0.3">
      <c r="A8" s="17" t="s">
        <v>308</v>
      </c>
      <c r="B8" s="18"/>
    </row>
    <row r="9" spans="1:2" ht="14" x14ac:dyDescent="0.3">
      <c r="A9" s="17" t="s">
        <v>309</v>
      </c>
      <c r="B9" s="19">
        <f>407957.69</f>
        <v>407957.69</v>
      </c>
    </row>
    <row r="10" spans="1:2" ht="14" x14ac:dyDescent="0.3">
      <c r="A10" s="17" t="s">
        <v>523</v>
      </c>
      <c r="B10" s="19">
        <f>1166088.97</f>
        <v>1166088.97</v>
      </c>
    </row>
    <row r="11" spans="1:2" ht="14" x14ac:dyDescent="0.3">
      <c r="A11" s="17" t="s">
        <v>524</v>
      </c>
      <c r="B11" s="19">
        <f>255</f>
        <v>255</v>
      </c>
    </row>
    <row r="12" spans="1:2" ht="14" x14ac:dyDescent="0.3">
      <c r="A12" s="17" t="s">
        <v>525</v>
      </c>
      <c r="B12" s="19">
        <f>-2489.78</f>
        <v>-2489.7800000000002</v>
      </c>
    </row>
    <row r="13" spans="1:2" ht="14" x14ac:dyDescent="0.3">
      <c r="A13" s="17" t="s">
        <v>310</v>
      </c>
      <c r="B13" s="20">
        <f>((((B8)+(B9))+(B10))+(B11))+(B12)</f>
        <v>1571811.88</v>
      </c>
    </row>
    <row r="14" spans="1:2" ht="14" x14ac:dyDescent="0.3">
      <c r="A14" s="17" t="s">
        <v>290</v>
      </c>
      <c r="B14" s="19">
        <f>-1433814.48</f>
        <v>-1433814.48</v>
      </c>
    </row>
    <row r="15" spans="1:2" ht="14" x14ac:dyDescent="0.3">
      <c r="A15" s="17" t="s">
        <v>291</v>
      </c>
      <c r="B15" s="20">
        <f>((B7)+(B13))+(B14)</f>
        <v>137997.39999999991</v>
      </c>
    </row>
    <row r="16" spans="1:2" ht="14" x14ac:dyDescent="0.3">
      <c r="A16" s="17" t="s">
        <v>6</v>
      </c>
      <c r="B16" s="18"/>
    </row>
    <row r="17" spans="1:2" ht="14" x14ac:dyDescent="0.3">
      <c r="A17" s="17" t="s">
        <v>10</v>
      </c>
      <c r="B17" s="19">
        <f>59095.41</f>
        <v>59095.41</v>
      </c>
    </row>
    <row r="18" spans="1:2" ht="14" x14ac:dyDescent="0.3">
      <c r="A18" s="17" t="s">
        <v>11</v>
      </c>
      <c r="B18" s="19">
        <f>8242.77</f>
        <v>8242.77</v>
      </c>
    </row>
    <row r="19" spans="1:2" ht="14" x14ac:dyDescent="0.3">
      <c r="A19" s="17" t="s">
        <v>15</v>
      </c>
      <c r="B19" s="20">
        <f>((B16)+(B17))+(B18)</f>
        <v>67338.180000000008</v>
      </c>
    </row>
    <row r="20" spans="1:2" ht="14" x14ac:dyDescent="0.3">
      <c r="A20" s="17" t="s">
        <v>16</v>
      </c>
      <c r="B20" s="18"/>
    </row>
    <row r="21" spans="1:2" ht="15.75" customHeight="1" x14ac:dyDescent="0.3">
      <c r="A21" s="17" t="s">
        <v>17</v>
      </c>
      <c r="B21" s="19">
        <f>60</f>
        <v>60</v>
      </c>
    </row>
    <row r="22" spans="1:2" ht="15.75" customHeight="1" x14ac:dyDescent="0.3">
      <c r="A22" s="17" t="s">
        <v>18</v>
      </c>
      <c r="B22" s="19">
        <f>75</f>
        <v>75</v>
      </c>
    </row>
    <row r="23" spans="1:2" ht="15.75" customHeight="1" x14ac:dyDescent="0.3">
      <c r="A23" s="17" t="s">
        <v>19</v>
      </c>
      <c r="B23" s="20">
        <f>((B20)+(B21))+(B22)</f>
        <v>135</v>
      </c>
    </row>
    <row r="24" spans="1:2" ht="15.75" customHeight="1" x14ac:dyDescent="0.3">
      <c r="A24" s="17" t="s">
        <v>20</v>
      </c>
      <c r="B24" s="18"/>
    </row>
    <row r="25" spans="1:2" ht="15.75" customHeight="1" x14ac:dyDescent="0.3">
      <c r="A25" s="17" t="s">
        <v>241</v>
      </c>
      <c r="B25" s="19">
        <f>4741.29</f>
        <v>4741.29</v>
      </c>
    </row>
    <row r="26" spans="1:2" ht="15.75" customHeight="1" x14ac:dyDescent="0.3">
      <c r="A26" s="17" t="s">
        <v>26</v>
      </c>
      <c r="B26" s="20">
        <f>(B24)+(B25)</f>
        <v>4741.29</v>
      </c>
    </row>
    <row r="27" spans="1:2" ht="15.75" customHeight="1" x14ac:dyDescent="0.3">
      <c r="A27" s="17" t="s">
        <v>27</v>
      </c>
      <c r="B27" s="18"/>
    </row>
    <row r="28" spans="1:2" ht="15.75" customHeight="1" x14ac:dyDescent="0.3">
      <c r="A28" s="17" t="s">
        <v>28</v>
      </c>
      <c r="B28" s="19">
        <f>7972.43</f>
        <v>7972.43</v>
      </c>
    </row>
    <row r="29" spans="1:2" ht="15.75" customHeight="1" x14ac:dyDescent="0.3">
      <c r="A29" s="17" t="s">
        <v>29</v>
      </c>
      <c r="B29" s="19">
        <f>917.5</f>
        <v>917.5</v>
      </c>
    </row>
    <row r="30" spans="1:2" ht="15.75" customHeight="1" x14ac:dyDescent="0.3">
      <c r="A30" s="17" t="s">
        <v>266</v>
      </c>
      <c r="B30" s="19">
        <f>4128</f>
        <v>4128</v>
      </c>
    </row>
    <row r="31" spans="1:2" ht="15.75" customHeight="1" x14ac:dyDescent="0.3">
      <c r="A31" s="17" t="s">
        <v>526</v>
      </c>
      <c r="B31" s="19">
        <f>4420</f>
        <v>4420</v>
      </c>
    </row>
    <row r="32" spans="1:2" ht="15.75" customHeight="1" x14ac:dyDescent="0.3">
      <c r="A32" s="17" t="s">
        <v>30</v>
      </c>
      <c r="B32" s="20">
        <f>((((B27)+(B28))+(B29))+(B30))+(B31)</f>
        <v>17437.93</v>
      </c>
    </row>
    <row r="33" spans="1:2" ht="15.75" customHeight="1" x14ac:dyDescent="0.3">
      <c r="A33" s="17" t="s">
        <v>527</v>
      </c>
      <c r="B33" s="19">
        <f>-2951.73</f>
        <v>-2951.73</v>
      </c>
    </row>
    <row r="34" spans="1:2" ht="15.75" customHeight="1" x14ac:dyDescent="0.3">
      <c r="A34" s="17" t="s">
        <v>31</v>
      </c>
      <c r="B34" s="20">
        <f>(((((B15)+(B19))+(B23))+(B26))+(B32))+(B33)</f>
        <v>224698.06999999989</v>
      </c>
    </row>
    <row r="35" spans="1:2" ht="15.75" customHeight="1" x14ac:dyDescent="0.3">
      <c r="A35" s="17" t="s">
        <v>32</v>
      </c>
      <c r="B35" s="20">
        <f>(B34)-(0)</f>
        <v>224698.06999999989</v>
      </c>
    </row>
    <row r="36" spans="1:2" ht="15.75" customHeight="1" x14ac:dyDescent="0.3">
      <c r="A36" s="17" t="s">
        <v>33</v>
      </c>
      <c r="B36" s="18"/>
    </row>
    <row r="37" spans="1:2" ht="15.75" customHeight="1" x14ac:dyDescent="0.3">
      <c r="A37" s="17" t="s">
        <v>34</v>
      </c>
      <c r="B37" s="18"/>
    </row>
    <row r="38" spans="1:2" ht="15.75" customHeight="1" x14ac:dyDescent="0.3">
      <c r="A38" s="17" t="s">
        <v>35</v>
      </c>
      <c r="B38" s="18"/>
    </row>
    <row r="39" spans="1:2" ht="15.75" customHeight="1" x14ac:dyDescent="0.3">
      <c r="A39" s="17" t="s">
        <v>36</v>
      </c>
      <c r="B39" s="19">
        <f>2700</f>
        <v>2700</v>
      </c>
    </row>
    <row r="40" spans="1:2" ht="15.75" customHeight="1" x14ac:dyDescent="0.3">
      <c r="A40" s="17" t="s">
        <v>39</v>
      </c>
      <c r="B40" s="20">
        <f>(B38)+(B39)</f>
        <v>2700</v>
      </c>
    </row>
    <row r="41" spans="1:2" ht="15.75" customHeight="1" x14ac:dyDescent="0.3">
      <c r="A41" s="17" t="s">
        <v>43</v>
      </c>
      <c r="B41" s="18"/>
    </row>
    <row r="42" spans="1:2" ht="15.75" customHeight="1" x14ac:dyDescent="0.3">
      <c r="A42" s="17" t="s">
        <v>44</v>
      </c>
      <c r="B42" s="19">
        <f>3420.8</f>
        <v>3420.8</v>
      </c>
    </row>
    <row r="43" spans="1:2" ht="15.75" customHeight="1" x14ac:dyDescent="0.3">
      <c r="A43" s="17" t="s">
        <v>45</v>
      </c>
      <c r="B43" s="19">
        <f>1794</f>
        <v>1794</v>
      </c>
    </row>
    <row r="44" spans="1:2" ht="15.75" customHeight="1" x14ac:dyDescent="0.3">
      <c r="A44" s="17" t="s">
        <v>46</v>
      </c>
      <c r="B44" s="19">
        <f>864</f>
        <v>864</v>
      </c>
    </row>
    <row r="45" spans="1:2" ht="15.75" customHeight="1" x14ac:dyDescent="0.3">
      <c r="A45" s="17" t="s">
        <v>51</v>
      </c>
      <c r="B45" s="19">
        <f>1800</f>
        <v>1800</v>
      </c>
    </row>
    <row r="46" spans="1:2" ht="15.75" customHeight="1" x14ac:dyDescent="0.3">
      <c r="A46" s="17" t="s">
        <v>52</v>
      </c>
      <c r="B46" s="19">
        <f>519.24</f>
        <v>519.24</v>
      </c>
    </row>
    <row r="47" spans="1:2" ht="15.75" customHeight="1" x14ac:dyDescent="0.3">
      <c r="A47" s="17" t="s">
        <v>55</v>
      </c>
      <c r="B47" s="20">
        <f>(((((B41)+(B42))+(B43))+(B44))+(B45))+(B46)</f>
        <v>8398.0400000000009</v>
      </c>
    </row>
    <row r="48" spans="1:2" ht="15.75" customHeight="1" x14ac:dyDescent="0.3">
      <c r="A48" s="17" t="s">
        <v>62</v>
      </c>
      <c r="B48" s="18"/>
    </row>
    <row r="49" spans="1:2" ht="15.75" customHeight="1" x14ac:dyDescent="0.3">
      <c r="A49" s="17" t="s">
        <v>64</v>
      </c>
      <c r="B49" s="19">
        <f>1605</f>
        <v>1605</v>
      </c>
    </row>
    <row r="50" spans="1:2" ht="15.75" customHeight="1" x14ac:dyDescent="0.3">
      <c r="A50" s="17" t="s">
        <v>65</v>
      </c>
      <c r="B50" s="20">
        <f>(B48)+(B49)</f>
        <v>1605</v>
      </c>
    </row>
    <row r="51" spans="1:2" ht="15.75" customHeight="1" x14ac:dyDescent="0.3">
      <c r="A51" s="17" t="s">
        <v>71</v>
      </c>
      <c r="B51" s="18"/>
    </row>
    <row r="52" spans="1:2" ht="15.75" customHeight="1" x14ac:dyDescent="0.3">
      <c r="A52" s="17" t="s">
        <v>73</v>
      </c>
      <c r="B52" s="19">
        <f>327.78</f>
        <v>327.78</v>
      </c>
    </row>
    <row r="53" spans="1:2" ht="15.75" customHeight="1" x14ac:dyDescent="0.3">
      <c r="A53" s="17" t="s">
        <v>75</v>
      </c>
      <c r="B53" s="19">
        <f>1453.59</f>
        <v>1453.59</v>
      </c>
    </row>
    <row r="54" spans="1:2" ht="15.75" customHeight="1" x14ac:dyDescent="0.3">
      <c r="A54" s="17" t="s">
        <v>76</v>
      </c>
      <c r="B54" s="19">
        <f>245.19</f>
        <v>245.19</v>
      </c>
    </row>
    <row r="55" spans="1:2" ht="15.75" customHeight="1" x14ac:dyDescent="0.3">
      <c r="A55" s="17" t="s">
        <v>78</v>
      </c>
      <c r="B55" s="19">
        <f>423.3</f>
        <v>423.3</v>
      </c>
    </row>
    <row r="56" spans="1:2" ht="15.75" customHeight="1" x14ac:dyDescent="0.3">
      <c r="A56" s="17" t="s">
        <v>79</v>
      </c>
      <c r="B56" s="20">
        <f>((((B51)+(B52))+(B53))+(B54))+(B55)</f>
        <v>2449.86</v>
      </c>
    </row>
    <row r="57" spans="1:2" ht="15.75" customHeight="1" x14ac:dyDescent="0.3">
      <c r="A57" s="17" t="s">
        <v>86</v>
      </c>
      <c r="B57" s="20">
        <f>((((B37)+(B40))+(B47))+(B50))+(B56)</f>
        <v>15152.900000000001</v>
      </c>
    </row>
    <row r="58" spans="1:2" ht="15.75" customHeight="1" x14ac:dyDescent="0.3">
      <c r="A58" s="17" t="s">
        <v>87</v>
      </c>
      <c r="B58" s="18"/>
    </row>
    <row r="59" spans="1:2" ht="15.75" customHeight="1" x14ac:dyDescent="0.3">
      <c r="A59" s="17" t="s">
        <v>88</v>
      </c>
      <c r="B59" s="18"/>
    </row>
    <row r="60" spans="1:2" ht="15.75" customHeight="1" x14ac:dyDescent="0.3">
      <c r="A60" s="17" t="s">
        <v>89</v>
      </c>
      <c r="B60" s="19">
        <f>720</f>
        <v>720</v>
      </c>
    </row>
    <row r="61" spans="1:2" ht="15.75" customHeight="1" x14ac:dyDescent="0.3">
      <c r="A61" s="17" t="s">
        <v>93</v>
      </c>
      <c r="B61" s="19">
        <f>479.67</f>
        <v>479.67</v>
      </c>
    </row>
    <row r="62" spans="1:2" ht="15.75" customHeight="1" x14ac:dyDescent="0.3">
      <c r="A62" s="17" t="s">
        <v>94</v>
      </c>
      <c r="B62" s="19">
        <f>2599.75</f>
        <v>2599.75</v>
      </c>
    </row>
    <row r="63" spans="1:2" ht="15.75" customHeight="1" x14ac:dyDescent="0.3">
      <c r="A63" s="17" t="s">
        <v>95</v>
      </c>
      <c r="B63" s="19">
        <f>604.84</f>
        <v>604.84</v>
      </c>
    </row>
    <row r="64" spans="1:2" ht="15.75" customHeight="1" x14ac:dyDescent="0.3">
      <c r="A64" s="17" t="s">
        <v>96</v>
      </c>
      <c r="B64" s="19">
        <f>119.36</f>
        <v>119.36</v>
      </c>
    </row>
    <row r="65" spans="1:2" ht="15.75" customHeight="1" x14ac:dyDescent="0.3">
      <c r="A65" s="17" t="s">
        <v>98</v>
      </c>
      <c r="B65" s="19">
        <f>78.8</f>
        <v>78.8</v>
      </c>
    </row>
    <row r="66" spans="1:2" ht="15.75" customHeight="1" x14ac:dyDescent="0.3">
      <c r="A66" s="17" t="s">
        <v>102</v>
      </c>
      <c r="B66" s="20">
        <f>((((((B59)+(B60))+(B61))+(B62))+(B63))+(B64))+(B65)</f>
        <v>4602.42</v>
      </c>
    </row>
    <row r="67" spans="1:2" ht="15.75" customHeight="1" x14ac:dyDescent="0.3">
      <c r="A67" s="17" t="s">
        <v>103</v>
      </c>
      <c r="B67" s="18"/>
    </row>
    <row r="68" spans="1:2" ht="15.75" customHeight="1" x14ac:dyDescent="0.3">
      <c r="A68" s="17" t="s">
        <v>104</v>
      </c>
      <c r="B68" s="19">
        <f>441.9</f>
        <v>441.9</v>
      </c>
    </row>
    <row r="69" spans="1:2" ht="15.75" customHeight="1" x14ac:dyDescent="0.3">
      <c r="A69" s="17" t="s">
        <v>105</v>
      </c>
      <c r="B69" s="19">
        <f>5159.5</f>
        <v>5159.5</v>
      </c>
    </row>
    <row r="70" spans="1:2" ht="15.75" customHeight="1" x14ac:dyDescent="0.3">
      <c r="A70" s="17" t="s">
        <v>106</v>
      </c>
      <c r="B70" s="19">
        <f>397.33</f>
        <v>397.33</v>
      </c>
    </row>
    <row r="71" spans="1:2" ht="15.75" customHeight="1" x14ac:dyDescent="0.3">
      <c r="A71" s="17" t="s">
        <v>108</v>
      </c>
      <c r="B71" s="19">
        <f>731.59</f>
        <v>731.59</v>
      </c>
    </row>
    <row r="72" spans="1:2" ht="15.75" customHeight="1" x14ac:dyDescent="0.3">
      <c r="A72" s="17" t="s">
        <v>109</v>
      </c>
      <c r="B72" s="19">
        <f>175.99</f>
        <v>175.99</v>
      </c>
    </row>
    <row r="73" spans="1:2" ht="15.75" customHeight="1" x14ac:dyDescent="0.3">
      <c r="A73" s="17" t="s">
        <v>110</v>
      </c>
      <c r="B73" s="19">
        <f>537.4</f>
        <v>537.4</v>
      </c>
    </row>
    <row r="74" spans="1:2" ht="15.75" customHeight="1" x14ac:dyDescent="0.3">
      <c r="A74" s="17" t="s">
        <v>114</v>
      </c>
      <c r="B74" s="20">
        <f>((((((B67)+(B68))+(B69))+(B70))+(B71))+(B72))+(B73)</f>
        <v>7443.7099999999991</v>
      </c>
    </row>
    <row r="75" spans="1:2" ht="15.75" customHeight="1" x14ac:dyDescent="0.3">
      <c r="A75" s="17" t="s">
        <v>115</v>
      </c>
      <c r="B75" s="20">
        <f>((B58)+(B66))+(B74)</f>
        <v>12046.13</v>
      </c>
    </row>
    <row r="76" spans="1:2" ht="15.75" customHeight="1" x14ac:dyDescent="0.3">
      <c r="A76" s="17" t="s">
        <v>116</v>
      </c>
      <c r="B76" s="18"/>
    </row>
    <row r="77" spans="1:2" ht="15.75" customHeight="1" x14ac:dyDescent="0.3">
      <c r="A77" s="17" t="s">
        <v>117</v>
      </c>
      <c r="B77" s="18"/>
    </row>
    <row r="78" spans="1:2" ht="15.75" customHeight="1" x14ac:dyDescent="0.3">
      <c r="A78" s="17" t="s">
        <v>118</v>
      </c>
      <c r="B78" s="19">
        <f>4470.4</f>
        <v>4470.3999999999996</v>
      </c>
    </row>
    <row r="79" spans="1:2" ht="15.75" customHeight="1" x14ac:dyDescent="0.3">
      <c r="A79" s="17" t="s">
        <v>119</v>
      </c>
      <c r="B79" s="19">
        <f>12576</f>
        <v>12576</v>
      </c>
    </row>
    <row r="80" spans="1:2" ht="15.75" customHeight="1" x14ac:dyDescent="0.3">
      <c r="A80" s="17" t="s">
        <v>121</v>
      </c>
      <c r="B80" s="19">
        <f>2743.2</f>
        <v>2743.2</v>
      </c>
    </row>
    <row r="81" spans="1:2" ht="15.75" customHeight="1" x14ac:dyDescent="0.3">
      <c r="A81" s="17" t="s">
        <v>122</v>
      </c>
      <c r="B81" s="19">
        <f>8333.61</f>
        <v>8333.61</v>
      </c>
    </row>
    <row r="82" spans="1:2" ht="15.75" customHeight="1" x14ac:dyDescent="0.3">
      <c r="A82" s="17" t="s">
        <v>123</v>
      </c>
      <c r="B82" s="19">
        <f>821.45</f>
        <v>821.45</v>
      </c>
    </row>
    <row r="83" spans="1:2" ht="15.75" customHeight="1" x14ac:dyDescent="0.3">
      <c r="A83" s="17" t="s">
        <v>124</v>
      </c>
      <c r="B83" s="19">
        <f>1207.41</f>
        <v>1207.4100000000001</v>
      </c>
    </row>
    <row r="84" spans="1:2" ht="15.75" customHeight="1" x14ac:dyDescent="0.3">
      <c r="A84" s="17" t="s">
        <v>232</v>
      </c>
      <c r="B84" s="19">
        <f>3935.33</f>
        <v>3935.33</v>
      </c>
    </row>
    <row r="85" spans="1:2" ht="15.75" customHeight="1" x14ac:dyDescent="0.3">
      <c r="A85" s="17" t="s">
        <v>233</v>
      </c>
      <c r="B85" s="19">
        <f>195.42</f>
        <v>195.42</v>
      </c>
    </row>
    <row r="86" spans="1:2" ht="15.75" customHeight="1" x14ac:dyDescent="0.3">
      <c r="A86" s="17" t="s">
        <v>126</v>
      </c>
      <c r="B86" s="19">
        <f>3167.53</f>
        <v>3167.53</v>
      </c>
    </row>
    <row r="87" spans="1:2" ht="15.75" customHeight="1" x14ac:dyDescent="0.3">
      <c r="A87" s="17" t="s">
        <v>270</v>
      </c>
      <c r="B87" s="19">
        <f>368.07</f>
        <v>368.07</v>
      </c>
    </row>
    <row r="88" spans="1:2" ht="15.75" customHeight="1" x14ac:dyDescent="0.3">
      <c r="A88" s="17" t="s">
        <v>127</v>
      </c>
      <c r="B88" s="20">
        <f>((((((((((B77)+(B78))+(B79))+(B80))+(B81))+(B82))+(B83))+(B84))+(B85))+(B86))+(B87)</f>
        <v>37818.42</v>
      </c>
    </row>
    <row r="89" spans="1:2" ht="15.75" customHeight="1" x14ac:dyDescent="0.3">
      <c r="A89" s="17" t="s">
        <v>128</v>
      </c>
      <c r="B89" s="18"/>
    </row>
    <row r="90" spans="1:2" ht="15.75" customHeight="1" x14ac:dyDescent="0.3">
      <c r="A90" s="17" t="s">
        <v>132</v>
      </c>
      <c r="B90" s="19">
        <f>172.47</f>
        <v>172.47</v>
      </c>
    </row>
    <row r="91" spans="1:2" ht="15.75" customHeight="1" x14ac:dyDescent="0.3">
      <c r="A91" s="17" t="s">
        <v>136</v>
      </c>
      <c r="B91" s="20">
        <f>(B89)+(B90)</f>
        <v>172.47</v>
      </c>
    </row>
    <row r="92" spans="1:2" ht="15.75" customHeight="1" x14ac:dyDescent="0.3">
      <c r="A92" s="17" t="s">
        <v>237</v>
      </c>
      <c r="B92" s="19">
        <f>466.31</f>
        <v>466.31</v>
      </c>
    </row>
    <row r="93" spans="1:2" ht="15.75" customHeight="1" x14ac:dyDescent="0.3">
      <c r="A93" s="17" t="s">
        <v>137</v>
      </c>
      <c r="B93" s="18"/>
    </row>
    <row r="94" spans="1:2" ht="15.75" customHeight="1" x14ac:dyDescent="0.3">
      <c r="A94" s="17" t="s">
        <v>138</v>
      </c>
      <c r="B94" s="19">
        <f>99.86</f>
        <v>99.86</v>
      </c>
    </row>
    <row r="95" spans="1:2" ht="15.75" customHeight="1" x14ac:dyDescent="0.3">
      <c r="A95" s="17" t="s">
        <v>139</v>
      </c>
      <c r="B95" s="20">
        <f>(B93)+(B94)</f>
        <v>99.86</v>
      </c>
    </row>
    <row r="96" spans="1:2" ht="15.75" customHeight="1" x14ac:dyDescent="0.3">
      <c r="A96" s="17" t="s">
        <v>140</v>
      </c>
      <c r="B96" s="20">
        <f>((((B76)+(B88))+(B91))+(B92))+(B95)</f>
        <v>38557.06</v>
      </c>
    </row>
    <row r="97" spans="1:2" ht="15.75" customHeight="1" x14ac:dyDescent="0.3">
      <c r="A97" s="17" t="s">
        <v>145</v>
      </c>
      <c r="B97" s="18"/>
    </row>
    <row r="98" spans="1:2" ht="15.75" customHeight="1" x14ac:dyDescent="0.3">
      <c r="A98" s="17" t="s">
        <v>147</v>
      </c>
      <c r="B98" s="19">
        <f>223.27</f>
        <v>223.27</v>
      </c>
    </row>
    <row r="99" spans="1:2" ht="15.75" customHeight="1" x14ac:dyDescent="0.3">
      <c r="A99" s="17" t="s">
        <v>148</v>
      </c>
      <c r="B99" s="19">
        <f>515</f>
        <v>515</v>
      </c>
    </row>
    <row r="100" spans="1:2" ht="15.75" customHeight="1" x14ac:dyDescent="0.3">
      <c r="A100" s="17" t="s">
        <v>149</v>
      </c>
      <c r="B100" s="20">
        <f>((B97)+(B98))+(B99)</f>
        <v>738.27</v>
      </c>
    </row>
    <row r="101" spans="1:2" ht="15.75" customHeight="1" x14ac:dyDescent="0.3">
      <c r="A101" s="17" t="s">
        <v>150</v>
      </c>
      <c r="B101" s="18"/>
    </row>
    <row r="102" spans="1:2" ht="15.75" customHeight="1" x14ac:dyDescent="0.3">
      <c r="A102" s="17" t="s">
        <v>151</v>
      </c>
      <c r="B102" s="19">
        <f>24480</f>
        <v>24480</v>
      </c>
    </row>
    <row r="103" spans="1:2" ht="15.75" customHeight="1" x14ac:dyDescent="0.3">
      <c r="A103" s="17" t="s">
        <v>152</v>
      </c>
      <c r="B103" s="19">
        <f>24.19</f>
        <v>24.19</v>
      </c>
    </row>
    <row r="104" spans="1:2" ht="15.75" customHeight="1" x14ac:dyDescent="0.3">
      <c r="A104" s="17" t="s">
        <v>153</v>
      </c>
      <c r="B104" s="20">
        <f>((B101)+(B102))+(B103)</f>
        <v>24504.19</v>
      </c>
    </row>
    <row r="105" spans="1:2" ht="15.75" customHeight="1" x14ac:dyDescent="0.3">
      <c r="A105" s="17" t="s">
        <v>528</v>
      </c>
      <c r="B105" s="19">
        <f>-1318.67</f>
        <v>-1318.67</v>
      </c>
    </row>
    <row r="106" spans="1:2" ht="15.75" customHeight="1" x14ac:dyDescent="0.3">
      <c r="A106" s="17" t="s">
        <v>529</v>
      </c>
      <c r="B106" s="19">
        <f>132.43</f>
        <v>132.43</v>
      </c>
    </row>
    <row r="107" spans="1:2" ht="15.75" customHeight="1" x14ac:dyDescent="0.3">
      <c r="A107" s="17" t="s">
        <v>167</v>
      </c>
      <c r="B107" s="20">
        <f>((((((B57)+(B75))+(B96))+(B100))+(B104))+(B105))+(B106)</f>
        <v>89812.31</v>
      </c>
    </row>
    <row r="108" spans="1:2" ht="15.75" customHeight="1" x14ac:dyDescent="0.3">
      <c r="A108" s="17" t="s">
        <v>168</v>
      </c>
      <c r="B108" s="20">
        <f>(B35)-(B107)</f>
        <v>134885.75999999989</v>
      </c>
    </row>
    <row r="109" spans="1:2" ht="15.75" customHeight="1" x14ac:dyDescent="0.3">
      <c r="A109" s="17" t="s">
        <v>169</v>
      </c>
      <c r="B109" s="20">
        <f>(B108)+(0)</f>
        <v>134885.75999999989</v>
      </c>
    </row>
    <row r="110" spans="1:2" ht="15.75" customHeight="1" x14ac:dyDescent="0.3">
      <c r="A110" s="17"/>
      <c r="B110" s="18"/>
    </row>
    <row r="111" spans="1:2" ht="15.75" customHeight="1" x14ac:dyDescent="0.3"/>
    <row r="112" spans="1: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spans="1:2" ht="15.75" customHeight="1" x14ac:dyDescent="0.3"/>
    <row r="194" spans="1:2" ht="15.75" customHeight="1" x14ac:dyDescent="0.3"/>
    <row r="195" spans="1:2" ht="15.75" customHeight="1" x14ac:dyDescent="0.3"/>
    <row r="196" spans="1:2" ht="15.75" customHeight="1" x14ac:dyDescent="0.3"/>
    <row r="197" spans="1:2" ht="15.75" customHeight="1" x14ac:dyDescent="0.3"/>
    <row r="198" spans="1:2" ht="15.75" customHeight="1" x14ac:dyDescent="0.3"/>
    <row r="199" spans="1:2" ht="15.75" customHeight="1" x14ac:dyDescent="0.3"/>
    <row r="200" spans="1:2" ht="15.75" customHeight="1" x14ac:dyDescent="0.3"/>
    <row r="201" spans="1:2" ht="15.75" customHeight="1" x14ac:dyDescent="0.3"/>
    <row r="202" spans="1:2" ht="15.75" customHeight="1" x14ac:dyDescent="0.3">
      <c r="A202" s="2"/>
      <c r="B202" s="3"/>
    </row>
    <row r="203" spans="1:2" ht="15.75" customHeight="1" x14ac:dyDescent="0.35">
      <c r="A203" s="1"/>
      <c r="B203" s="1"/>
    </row>
    <row r="204" spans="1:2" ht="15" hidden="1" customHeight="1" x14ac:dyDescent="0.35">
      <c r="A204" s="1"/>
      <c r="B204" s="1"/>
    </row>
    <row r="205" spans="1:2" ht="15" hidden="1" customHeight="1" x14ac:dyDescent="0.3">
      <c r="A205" s="42"/>
      <c r="B205" s="37"/>
    </row>
    <row r="206" spans="1:2" ht="15.75" customHeight="1" x14ac:dyDescent="0.3"/>
    <row r="207" spans="1:2" ht="15.75" customHeight="1" x14ac:dyDescent="0.3"/>
    <row r="208" spans="1:2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A1:B1"/>
    <mergeCell ref="A2:B2"/>
    <mergeCell ref="A3:B3"/>
    <mergeCell ref="A205:B205"/>
  </mergeCells>
  <printOptions verticalCentered="1" gridLines="1"/>
  <pageMargins left="0.45" right="0.45" top="0.5" bottom="0.5" header="0" footer="0"/>
  <pageSetup scale="7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3" sqref="A3:I3"/>
    </sheetView>
  </sheetViews>
  <sheetFormatPr defaultColWidth="12.6640625" defaultRowHeight="15" customHeight="1" x14ac:dyDescent="0.3"/>
  <cols>
    <col min="1" max="1" width="15.6640625" customWidth="1"/>
    <col min="2" max="2" width="9.6640625" customWidth="1"/>
    <col min="3" max="3" width="16.6640625" customWidth="1"/>
    <col min="4" max="7" width="7.6640625" customWidth="1"/>
    <col min="8" max="8" width="9.1640625" customWidth="1"/>
    <col min="9" max="26" width="7.6640625" customWidth="1"/>
  </cols>
  <sheetData>
    <row r="1" spans="1:26" ht="18" x14ac:dyDescent="0.4">
      <c r="A1" s="46" t="s">
        <v>0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4">
      <c r="A2" s="46" t="s">
        <v>209</v>
      </c>
      <c r="B2" s="37"/>
      <c r="C2" s="37"/>
      <c r="D2" s="37"/>
      <c r="E2" s="37"/>
      <c r="F2" s="37"/>
      <c r="G2" s="37"/>
      <c r="H2" s="37"/>
      <c r="I2" s="37"/>
    </row>
    <row r="3" spans="1:26" ht="14" x14ac:dyDescent="0.3">
      <c r="A3" s="48" t="s">
        <v>521</v>
      </c>
      <c r="B3" s="37"/>
      <c r="C3" s="37"/>
      <c r="D3" s="37"/>
      <c r="E3" s="37"/>
      <c r="F3" s="37"/>
      <c r="G3" s="37"/>
      <c r="H3" s="37"/>
      <c r="I3" s="37"/>
    </row>
    <row r="4" spans="1:26" ht="15" customHeight="1" x14ac:dyDescent="0.35">
      <c r="A4" s="1" t="s">
        <v>210</v>
      </c>
      <c r="B4" s="8"/>
      <c r="C4" s="6"/>
      <c r="D4" s="6"/>
      <c r="E4" s="6"/>
      <c r="F4" s="6"/>
      <c r="G4" s="6"/>
      <c r="H4" s="4"/>
    </row>
    <row r="5" spans="1:26" ht="15" customHeight="1" x14ac:dyDescent="0.35">
      <c r="A5" s="1"/>
      <c r="B5" s="8"/>
      <c r="C5" s="6"/>
      <c r="D5" s="6"/>
      <c r="E5" s="6"/>
      <c r="F5" s="6"/>
      <c r="G5" s="6"/>
      <c r="H5" s="4"/>
    </row>
    <row r="6" spans="1:26" ht="15" customHeight="1" x14ac:dyDescent="0.35">
      <c r="A6" s="1"/>
      <c r="B6" s="8"/>
      <c r="C6" s="6"/>
      <c r="D6" s="6"/>
      <c r="E6" s="6"/>
      <c r="F6" s="6"/>
      <c r="G6" s="6"/>
      <c r="H6" s="4"/>
    </row>
    <row r="7" spans="1:26" ht="15" customHeight="1" x14ac:dyDescent="0.35">
      <c r="A7" s="1"/>
      <c r="B7" s="8"/>
      <c r="C7" s="6"/>
      <c r="D7" s="6"/>
      <c r="E7" s="6"/>
      <c r="F7" s="6"/>
      <c r="G7" s="6"/>
      <c r="H7" s="4"/>
    </row>
    <row r="8" spans="1:26" ht="15" customHeight="1" x14ac:dyDescent="0.35">
      <c r="A8" s="1"/>
      <c r="B8" s="6"/>
      <c r="C8" s="6"/>
      <c r="D8" s="6"/>
      <c r="E8" s="6"/>
      <c r="F8" s="6"/>
      <c r="G8" s="6"/>
      <c r="H8" s="4"/>
    </row>
    <row r="9" spans="1:26" ht="15" customHeight="1" x14ac:dyDescent="0.35">
      <c r="A9" s="1"/>
      <c r="B9" s="6"/>
      <c r="C9" s="6"/>
      <c r="D9" s="6"/>
      <c r="E9" s="6"/>
      <c r="F9" s="6"/>
      <c r="G9" s="6"/>
      <c r="H9" s="4"/>
    </row>
    <row r="10" spans="1:26" ht="15" customHeight="1" x14ac:dyDescent="0.35">
      <c r="A10" s="1"/>
      <c r="B10" s="8"/>
      <c r="C10" s="6"/>
      <c r="D10" s="6"/>
      <c r="E10" s="6"/>
      <c r="F10" s="6"/>
      <c r="G10" s="6"/>
      <c r="H10" s="4"/>
    </row>
    <row r="11" spans="1:26" ht="15" customHeight="1" x14ac:dyDescent="0.35">
      <c r="A11" s="1"/>
      <c r="B11" s="8"/>
      <c r="C11" s="6"/>
      <c r="D11" s="6"/>
      <c r="E11" s="6"/>
      <c r="F11" s="6"/>
      <c r="G11" s="6"/>
      <c r="H11" s="4"/>
    </row>
    <row r="12" spans="1:26" ht="15" customHeight="1" x14ac:dyDescent="0.35">
      <c r="A12" s="1"/>
      <c r="B12" s="8"/>
      <c r="C12" s="6"/>
      <c r="D12" s="6"/>
      <c r="E12" s="6"/>
      <c r="F12" s="6"/>
      <c r="G12" s="6"/>
      <c r="H12" s="4"/>
    </row>
    <row r="13" spans="1:26" ht="15" customHeight="1" x14ac:dyDescent="0.35">
      <c r="A13" s="1"/>
      <c r="B13" s="8"/>
      <c r="C13" s="6"/>
      <c r="D13" s="6"/>
      <c r="E13" s="6"/>
      <c r="F13" s="6"/>
      <c r="G13" s="6"/>
      <c r="H13" s="4"/>
    </row>
    <row r="14" spans="1:26" ht="15" customHeight="1" x14ac:dyDescent="0.35">
      <c r="A14" s="1"/>
      <c r="B14" s="8"/>
      <c r="C14" s="6"/>
      <c r="D14" s="6"/>
      <c r="E14" s="6"/>
      <c r="F14" s="6"/>
      <c r="G14" s="6"/>
      <c r="H14" s="4"/>
    </row>
    <row r="15" spans="1:26" ht="15" customHeight="1" x14ac:dyDescent="0.35">
      <c r="A15" s="1"/>
      <c r="B15" s="6"/>
      <c r="C15" s="6"/>
      <c r="D15" s="6"/>
      <c r="E15" s="6"/>
      <c r="F15" s="6"/>
      <c r="G15" s="6"/>
      <c r="H15" s="4"/>
    </row>
    <row r="16" spans="1:26" ht="15" customHeight="1" x14ac:dyDescent="0.35">
      <c r="A16" s="1"/>
      <c r="B16" s="6"/>
      <c r="C16" s="6"/>
      <c r="D16" s="6"/>
      <c r="E16" s="6"/>
      <c r="F16" s="6"/>
      <c r="G16" s="6"/>
      <c r="H16" s="4"/>
    </row>
    <row r="17" spans="1:8" ht="15" customHeight="1" x14ac:dyDescent="0.35">
      <c r="A17" s="1"/>
      <c r="B17" s="8"/>
      <c r="C17" s="6"/>
      <c r="D17" s="6"/>
      <c r="E17" s="6"/>
      <c r="F17" s="6"/>
      <c r="G17" s="6"/>
      <c r="H17" s="4"/>
    </row>
    <row r="18" spans="1:8" ht="15" customHeight="1" x14ac:dyDescent="0.35">
      <c r="A18" s="1"/>
      <c r="B18" s="8"/>
      <c r="C18" s="6"/>
      <c r="D18" s="6"/>
      <c r="E18" s="6"/>
      <c r="F18" s="6"/>
      <c r="G18" s="6"/>
      <c r="H18" s="4"/>
    </row>
    <row r="19" spans="1:8" ht="15" customHeight="1" x14ac:dyDescent="0.35">
      <c r="A19" s="1"/>
      <c r="B19" s="6"/>
      <c r="C19" s="6"/>
      <c r="D19" s="6"/>
      <c r="E19" s="6"/>
      <c r="F19" s="6"/>
      <c r="G19" s="6"/>
      <c r="H19" s="4"/>
    </row>
    <row r="20" spans="1:8" ht="15" customHeight="1" x14ac:dyDescent="0.35">
      <c r="A20" s="1"/>
      <c r="B20" s="6"/>
      <c r="C20" s="6"/>
      <c r="D20" s="6"/>
      <c r="E20" s="6"/>
      <c r="F20" s="6"/>
      <c r="G20" s="6"/>
      <c r="H20" s="4"/>
    </row>
    <row r="21" spans="1:8" ht="15" customHeight="1" x14ac:dyDescent="0.35">
      <c r="A21" s="1"/>
      <c r="B21" s="8"/>
      <c r="C21" s="6"/>
      <c r="D21" s="6"/>
      <c r="E21" s="6"/>
      <c r="F21" s="6"/>
      <c r="G21" s="6"/>
      <c r="H21" s="4"/>
    </row>
    <row r="22" spans="1:8" ht="15" customHeight="1" x14ac:dyDescent="0.35">
      <c r="A22" s="1"/>
      <c r="B22" s="8"/>
      <c r="C22" s="6"/>
      <c r="D22" s="6"/>
      <c r="E22" s="6"/>
      <c r="F22" s="6"/>
      <c r="G22" s="6"/>
      <c r="H22" s="4"/>
    </row>
    <row r="23" spans="1:8" ht="15" customHeight="1" x14ac:dyDescent="0.35">
      <c r="A23" s="1"/>
      <c r="B23" s="6"/>
      <c r="C23" s="6"/>
      <c r="D23" s="6"/>
      <c r="E23" s="6"/>
      <c r="F23" s="6"/>
      <c r="G23" s="6"/>
      <c r="H23" s="4"/>
    </row>
    <row r="24" spans="1:8" ht="15" customHeight="1" x14ac:dyDescent="0.35">
      <c r="A24" s="1"/>
      <c r="B24" s="6"/>
      <c r="C24" s="6"/>
      <c r="D24" s="6"/>
      <c r="E24" s="6"/>
      <c r="F24" s="6"/>
      <c r="G24" s="6"/>
      <c r="H24" s="4"/>
    </row>
    <row r="25" spans="1:8" ht="15" customHeight="1" x14ac:dyDescent="0.35">
      <c r="A25" s="1"/>
      <c r="B25" s="6"/>
      <c r="C25" s="6"/>
      <c r="D25" s="6"/>
      <c r="E25" s="6"/>
      <c r="F25" s="6"/>
      <c r="G25" s="6"/>
      <c r="H25" s="4"/>
    </row>
    <row r="26" spans="1:8" ht="15" customHeight="1" x14ac:dyDescent="0.35">
      <c r="A26" s="1"/>
      <c r="B26" s="6"/>
      <c r="C26" s="6"/>
      <c r="D26" s="6"/>
      <c r="E26" s="6"/>
      <c r="F26" s="6"/>
      <c r="G26" s="6"/>
      <c r="H26" s="4"/>
    </row>
    <row r="27" spans="1:8" ht="15" customHeight="1" x14ac:dyDescent="0.35">
      <c r="A27" s="1"/>
      <c r="B27" s="8"/>
      <c r="C27" s="6"/>
      <c r="D27" s="6"/>
      <c r="E27" s="6"/>
      <c r="F27" s="6"/>
      <c r="G27" s="6"/>
      <c r="H27" s="4"/>
    </row>
    <row r="28" spans="1:8" ht="15" customHeight="1" x14ac:dyDescent="0.35">
      <c r="A28" s="2"/>
      <c r="B28" s="1"/>
      <c r="C28" s="1"/>
      <c r="D28" s="1"/>
      <c r="E28" s="1"/>
      <c r="F28" s="1"/>
      <c r="G28" s="1"/>
      <c r="H28" s="5"/>
    </row>
    <row r="29" spans="1:8" ht="15" customHeight="1" x14ac:dyDescent="0.35">
      <c r="A29" s="2"/>
      <c r="B29" s="1"/>
      <c r="C29" s="1"/>
      <c r="D29" s="1"/>
      <c r="E29" s="1"/>
      <c r="F29" s="1"/>
      <c r="G29" s="1"/>
      <c r="H29" s="9"/>
    </row>
    <row r="30" spans="1:8" ht="15" customHeight="1" x14ac:dyDescent="0.35">
      <c r="A30" s="1"/>
      <c r="B30" s="6"/>
      <c r="C30" s="6"/>
      <c r="D30" s="6"/>
      <c r="E30" s="6"/>
      <c r="F30" s="6"/>
      <c r="G30" s="6"/>
      <c r="H30" s="4"/>
    </row>
    <row r="31" spans="1:8" ht="15" customHeight="1" x14ac:dyDescent="0.35">
      <c r="A31" s="1"/>
      <c r="B31" s="6"/>
      <c r="C31" s="6"/>
      <c r="D31" s="6"/>
      <c r="E31" s="6"/>
      <c r="F31" s="6"/>
      <c r="G31" s="6"/>
      <c r="H31" s="4"/>
    </row>
    <row r="32" spans="1:8" ht="15" customHeight="1" x14ac:dyDescent="0.35">
      <c r="A32" s="1"/>
      <c r="B32" s="8"/>
      <c r="C32" s="6"/>
      <c r="D32" s="6"/>
      <c r="E32" s="6"/>
      <c r="F32" s="6"/>
      <c r="G32" s="6"/>
      <c r="H32" s="4"/>
    </row>
    <row r="33" spans="1:8" ht="15" customHeight="1" x14ac:dyDescent="0.35">
      <c r="A33" s="1"/>
      <c r="B33" s="6"/>
      <c r="C33" s="6"/>
      <c r="D33" s="6"/>
      <c r="E33" s="6"/>
      <c r="F33" s="6"/>
      <c r="G33" s="6"/>
      <c r="H33" s="4"/>
    </row>
    <row r="34" spans="1:8" ht="15" customHeight="1" x14ac:dyDescent="0.35">
      <c r="A34" s="1"/>
      <c r="B34" s="6"/>
      <c r="C34" s="6"/>
      <c r="D34" s="6"/>
      <c r="E34" s="6"/>
      <c r="F34" s="6"/>
      <c r="G34" s="6"/>
      <c r="H34" s="4"/>
    </row>
    <row r="35" spans="1:8" ht="15" customHeight="1" x14ac:dyDescent="0.35">
      <c r="A35" s="1"/>
      <c r="B35" s="8"/>
      <c r="C35" s="6"/>
      <c r="D35" s="6"/>
      <c r="E35" s="6"/>
      <c r="F35" s="6"/>
      <c r="G35" s="6"/>
      <c r="H35" s="4"/>
    </row>
    <row r="36" spans="1:8" ht="15" customHeight="1" x14ac:dyDescent="0.35">
      <c r="A36" s="1"/>
      <c r="B36" s="8"/>
      <c r="C36" s="6"/>
      <c r="D36" s="6"/>
      <c r="E36" s="6"/>
      <c r="F36" s="6"/>
      <c r="G36" s="6"/>
      <c r="H36" s="4"/>
    </row>
    <row r="37" spans="1:8" ht="15" customHeight="1" x14ac:dyDescent="0.35">
      <c r="A37" s="1"/>
      <c r="B37" s="8"/>
      <c r="C37" s="6"/>
      <c r="D37" s="6"/>
      <c r="E37" s="6"/>
      <c r="F37" s="6"/>
      <c r="G37" s="6"/>
      <c r="H37" s="4"/>
    </row>
    <row r="38" spans="1:8" ht="15" customHeight="1" x14ac:dyDescent="0.35">
      <c r="A38" s="1"/>
      <c r="B38" s="6"/>
      <c r="C38" s="6"/>
      <c r="D38" s="6"/>
      <c r="E38" s="6"/>
      <c r="F38" s="6"/>
      <c r="G38" s="6"/>
      <c r="H38" s="4"/>
    </row>
    <row r="39" spans="1:8" ht="15" customHeight="1" x14ac:dyDescent="0.35">
      <c r="A39" s="1"/>
      <c r="B39" s="6"/>
      <c r="C39" s="6"/>
      <c r="D39" s="6"/>
      <c r="E39" s="6"/>
      <c r="F39" s="6"/>
      <c r="G39" s="6"/>
      <c r="H39" s="4"/>
    </row>
    <row r="40" spans="1:8" ht="15" customHeight="1" x14ac:dyDescent="0.35">
      <c r="A40" s="2"/>
      <c r="B40" s="7"/>
      <c r="C40" s="1"/>
      <c r="D40" s="1"/>
      <c r="E40" s="1"/>
      <c r="F40" s="1"/>
      <c r="G40" s="1"/>
      <c r="H40" s="5"/>
    </row>
    <row r="41" spans="1:8" ht="15" customHeight="1" x14ac:dyDescent="0.35">
      <c r="A41" s="2"/>
      <c r="B41" s="1"/>
      <c r="C41" s="1"/>
      <c r="D41" s="1"/>
      <c r="E41" s="1"/>
      <c r="F41" s="1"/>
      <c r="G41" s="1"/>
      <c r="H41" s="9"/>
    </row>
    <row r="42" spans="1:8" ht="15" customHeight="1" x14ac:dyDescent="0.35">
      <c r="A42" s="1"/>
      <c r="B42" s="6"/>
      <c r="C42" s="6"/>
      <c r="D42" s="6"/>
      <c r="E42" s="6"/>
      <c r="F42" s="6"/>
      <c r="G42" s="6"/>
      <c r="H42" s="4"/>
    </row>
    <row r="43" spans="1:8" ht="15" customHeight="1" x14ac:dyDescent="0.35">
      <c r="A43" s="1"/>
      <c r="B43" s="8"/>
      <c r="C43" s="6"/>
      <c r="D43" s="6"/>
      <c r="E43" s="6"/>
      <c r="F43" s="6"/>
      <c r="G43" s="6"/>
      <c r="H43" s="4"/>
    </row>
    <row r="44" spans="1:8" ht="15" customHeight="1" x14ac:dyDescent="0.35">
      <c r="A44" s="1"/>
      <c r="B44" s="6"/>
      <c r="C44" s="6"/>
      <c r="D44" s="6"/>
      <c r="E44" s="6"/>
      <c r="F44" s="6"/>
      <c r="G44" s="6"/>
      <c r="H44" s="4"/>
    </row>
    <row r="45" spans="1:8" ht="15" customHeight="1" x14ac:dyDescent="0.35">
      <c r="A45" s="1"/>
      <c r="B45" s="6"/>
      <c r="C45" s="6"/>
      <c r="D45" s="6"/>
      <c r="E45" s="6"/>
      <c r="F45" s="6"/>
      <c r="G45" s="6"/>
      <c r="H45" s="4"/>
    </row>
    <row r="46" spans="1:8" ht="15" customHeight="1" x14ac:dyDescent="0.35">
      <c r="A46" s="1"/>
      <c r="B46" s="8"/>
      <c r="C46" s="6"/>
      <c r="D46" s="6"/>
      <c r="E46" s="6"/>
      <c r="F46" s="6"/>
      <c r="G46" s="6"/>
      <c r="H46" s="4"/>
    </row>
    <row r="47" spans="1:8" ht="15" customHeight="1" x14ac:dyDescent="0.35">
      <c r="A47" s="1"/>
      <c r="B47" s="6"/>
      <c r="C47" s="6"/>
      <c r="D47" s="6"/>
      <c r="E47" s="6"/>
      <c r="F47" s="6"/>
      <c r="G47" s="6"/>
      <c r="H47" s="4"/>
    </row>
    <row r="48" spans="1:8" ht="15" customHeight="1" x14ac:dyDescent="0.35">
      <c r="A48" s="2"/>
      <c r="B48" s="1"/>
      <c r="C48" s="1"/>
      <c r="D48" s="1"/>
      <c r="E48" s="1"/>
      <c r="F48" s="1"/>
      <c r="G48" s="1"/>
      <c r="H48" s="5"/>
    </row>
    <row r="49" spans="1:8" ht="15" customHeight="1" x14ac:dyDescent="0.35">
      <c r="A49" s="2"/>
      <c r="B49" s="1"/>
      <c r="C49" s="1"/>
      <c r="D49" s="1"/>
      <c r="E49" s="1"/>
      <c r="F49" s="1"/>
      <c r="G49" s="1"/>
      <c r="H49" s="9"/>
    </row>
    <row r="50" spans="1:8" ht="15" customHeight="1" x14ac:dyDescent="0.35">
      <c r="A50" s="1"/>
      <c r="B50" s="6"/>
      <c r="C50" s="6"/>
      <c r="D50" s="6"/>
      <c r="E50" s="6"/>
      <c r="F50" s="6"/>
      <c r="G50" s="6"/>
      <c r="H50" s="4"/>
    </row>
    <row r="51" spans="1:8" ht="15" customHeight="1" x14ac:dyDescent="0.35">
      <c r="A51" s="1"/>
      <c r="B51" s="6"/>
      <c r="C51" s="6"/>
      <c r="D51" s="6"/>
      <c r="E51" s="6"/>
      <c r="F51" s="6"/>
      <c r="G51" s="6"/>
      <c r="H51" s="4"/>
    </row>
    <row r="52" spans="1:8" ht="15" customHeight="1" x14ac:dyDescent="0.35">
      <c r="A52" s="1"/>
      <c r="B52" s="6"/>
      <c r="C52" s="6"/>
      <c r="D52" s="6"/>
      <c r="E52" s="6"/>
      <c r="F52" s="6"/>
      <c r="G52" s="6"/>
      <c r="H52" s="4"/>
    </row>
    <row r="53" spans="1:8" ht="15" customHeight="1" x14ac:dyDescent="0.35">
      <c r="A53" s="2"/>
      <c r="B53" s="7"/>
      <c r="C53" s="1"/>
      <c r="D53" s="1"/>
      <c r="E53" s="1"/>
      <c r="F53" s="1"/>
      <c r="G53" s="1"/>
      <c r="H53" s="5"/>
    </row>
    <row r="54" spans="1:8" ht="15" customHeight="1" x14ac:dyDescent="0.35">
      <c r="A54" s="2"/>
      <c r="B54" s="7"/>
      <c r="C54" s="1"/>
      <c r="D54" s="1"/>
      <c r="E54" s="1"/>
      <c r="F54" s="1"/>
      <c r="G54" s="1"/>
      <c r="H54" s="10"/>
    </row>
    <row r="55" spans="1:8" ht="15" customHeight="1" x14ac:dyDescent="0.35">
      <c r="A55" s="1"/>
      <c r="B55" s="6"/>
      <c r="C55" s="6"/>
      <c r="D55" s="6"/>
      <c r="E55" s="6"/>
      <c r="F55" s="6"/>
      <c r="G55" s="6"/>
      <c r="H55" s="4"/>
    </row>
    <row r="56" spans="1:8" ht="15" customHeight="1" x14ac:dyDescent="0.35">
      <c r="A56" s="1"/>
      <c r="B56" s="6"/>
      <c r="C56" s="6"/>
      <c r="D56" s="6"/>
      <c r="E56" s="6"/>
      <c r="F56" s="6"/>
      <c r="G56" s="6"/>
      <c r="H56" s="4"/>
    </row>
    <row r="57" spans="1:8" ht="15" customHeight="1" x14ac:dyDescent="0.35">
      <c r="A57" s="1"/>
      <c r="B57" s="6"/>
      <c r="C57" s="6"/>
      <c r="D57" s="6"/>
      <c r="E57" s="6"/>
      <c r="F57" s="6"/>
      <c r="G57" s="6"/>
      <c r="H57" s="4"/>
    </row>
    <row r="58" spans="1:8" ht="15" customHeight="1" x14ac:dyDescent="0.35">
      <c r="A58" s="2"/>
      <c r="B58" s="1"/>
      <c r="C58" s="1"/>
      <c r="D58" s="1"/>
      <c r="E58" s="1"/>
      <c r="F58" s="1"/>
      <c r="G58" s="1"/>
      <c r="H58" s="5"/>
    </row>
    <row r="59" spans="1:8" ht="15" customHeight="1" x14ac:dyDescent="0.35">
      <c r="A59" s="2"/>
      <c r="B59" s="1"/>
      <c r="C59" s="1"/>
      <c r="D59" s="1"/>
      <c r="E59" s="1"/>
      <c r="F59" s="1"/>
      <c r="G59" s="1"/>
      <c r="H59" s="1"/>
    </row>
    <row r="60" spans="1:8" ht="15" customHeight="1" x14ac:dyDescent="0.35">
      <c r="A60" s="2"/>
      <c r="B60" s="1"/>
      <c r="C60" s="1"/>
      <c r="D60" s="1"/>
      <c r="E60" s="1"/>
      <c r="F60" s="1"/>
      <c r="G60" s="1"/>
      <c r="H60" s="1"/>
    </row>
    <row r="61" spans="1:8" ht="15" customHeight="1" x14ac:dyDescent="0.35">
      <c r="A61" s="2"/>
      <c r="B61" s="7"/>
      <c r="C61" s="1"/>
      <c r="D61" s="1"/>
      <c r="E61" s="1"/>
      <c r="F61" s="1"/>
      <c r="G61" s="1"/>
      <c r="H61" s="10"/>
    </row>
    <row r="62" spans="1:8" ht="15" customHeight="1" x14ac:dyDescent="0.35">
      <c r="A62" s="1"/>
      <c r="B62" s="8"/>
      <c r="C62" s="6"/>
      <c r="D62" s="6"/>
      <c r="E62" s="6"/>
      <c r="F62" s="6"/>
      <c r="G62" s="6"/>
      <c r="H62" s="4"/>
    </row>
    <row r="63" spans="1:8" ht="15" customHeight="1" x14ac:dyDescent="0.35">
      <c r="A63" s="1"/>
      <c r="B63" s="6"/>
      <c r="C63" s="6"/>
      <c r="D63" s="6"/>
      <c r="E63" s="6"/>
      <c r="F63" s="6"/>
      <c r="G63" s="6"/>
      <c r="H63" s="4"/>
    </row>
    <row r="64" spans="1:8" ht="15" customHeight="1" x14ac:dyDescent="0.35">
      <c r="A64" s="2"/>
      <c r="B64" s="1"/>
      <c r="C64" s="1"/>
      <c r="D64" s="1"/>
      <c r="E64" s="1"/>
      <c r="F64" s="1"/>
      <c r="G64" s="1"/>
      <c r="H64" s="5"/>
    </row>
    <row r="65" spans="1:8" ht="15" customHeight="1" x14ac:dyDescent="0.35">
      <c r="A65" s="2"/>
      <c r="B65" s="7"/>
      <c r="C65" s="1"/>
      <c r="D65" s="1"/>
      <c r="E65" s="1"/>
      <c r="F65" s="1"/>
      <c r="G65" s="1"/>
      <c r="H65" s="5"/>
    </row>
    <row r="66" spans="1:8" ht="15" customHeight="1" x14ac:dyDescent="0.35">
      <c r="A66" s="2"/>
      <c r="B66" s="1"/>
      <c r="C66" s="1"/>
      <c r="D66" s="1"/>
      <c r="E66" s="1"/>
      <c r="F66" s="1"/>
      <c r="G66" s="1"/>
      <c r="H66" s="9"/>
    </row>
    <row r="67" spans="1:8" ht="15" customHeight="1" x14ac:dyDescent="0.35">
      <c r="A67" s="2"/>
      <c r="B67" s="1"/>
      <c r="C67" s="1"/>
      <c r="D67" s="1"/>
      <c r="E67" s="1"/>
      <c r="F67" s="1"/>
      <c r="G67" s="1"/>
      <c r="H67" s="1"/>
    </row>
    <row r="68" spans="1:8" ht="15" customHeight="1" x14ac:dyDescent="0.35">
      <c r="A68" s="1"/>
      <c r="B68" s="8"/>
      <c r="C68" s="6"/>
      <c r="D68" s="6"/>
      <c r="E68" s="6"/>
      <c r="F68" s="6"/>
      <c r="G68" s="6"/>
      <c r="H68" s="4"/>
    </row>
    <row r="69" spans="1:8" ht="15" customHeight="1" x14ac:dyDescent="0.35">
      <c r="A69" s="2"/>
      <c r="B69" s="1"/>
      <c r="C69" s="1"/>
      <c r="D69" s="1"/>
      <c r="E69" s="1"/>
      <c r="F69" s="1"/>
      <c r="G69" s="1"/>
      <c r="H69" s="5"/>
    </row>
    <row r="70" spans="1:8" ht="15" customHeight="1" x14ac:dyDescent="0.35">
      <c r="A70" s="2"/>
      <c r="B70" s="1"/>
      <c r="C70" s="1"/>
      <c r="D70" s="1"/>
      <c r="E70" s="1"/>
      <c r="F70" s="1"/>
      <c r="G70" s="1"/>
      <c r="H70" s="9"/>
    </row>
    <row r="71" spans="1:8" ht="15" customHeight="1" x14ac:dyDescent="0.35">
      <c r="A71" s="1"/>
      <c r="B71" s="6"/>
      <c r="C71" s="6"/>
      <c r="D71" s="6"/>
      <c r="E71" s="6"/>
      <c r="F71" s="6"/>
      <c r="G71" s="6"/>
      <c r="H71" s="4"/>
    </row>
    <row r="72" spans="1:8" ht="15" customHeight="1" x14ac:dyDescent="0.35">
      <c r="A72" s="1"/>
      <c r="B72" s="6"/>
      <c r="C72" s="6"/>
      <c r="D72" s="6"/>
      <c r="E72" s="6"/>
      <c r="F72" s="6"/>
      <c r="G72" s="6"/>
      <c r="H72" s="4"/>
    </row>
    <row r="73" spans="1:8" ht="15" customHeight="1" x14ac:dyDescent="0.35">
      <c r="A73" s="2"/>
      <c r="B73" s="7"/>
      <c r="C73" s="1"/>
      <c r="D73" s="1"/>
      <c r="E73" s="1"/>
      <c r="F73" s="1"/>
      <c r="G73" s="1"/>
      <c r="H73" s="5"/>
    </row>
    <row r="74" spans="1:8" ht="15" customHeight="1" x14ac:dyDescent="0.35">
      <c r="A74" s="2"/>
      <c r="B74" s="7"/>
      <c r="C74" s="1"/>
      <c r="D74" s="1"/>
      <c r="E74" s="1"/>
      <c r="F74" s="1"/>
      <c r="G74" s="1"/>
      <c r="H74" s="10"/>
    </row>
    <row r="75" spans="1:8" ht="15" customHeight="1" x14ac:dyDescent="0.35">
      <c r="A75" s="1"/>
      <c r="B75" s="8"/>
      <c r="C75" s="6"/>
      <c r="D75" s="6"/>
      <c r="E75" s="6"/>
      <c r="F75" s="6"/>
      <c r="G75" s="6"/>
      <c r="H75" s="4"/>
    </row>
    <row r="76" spans="1:8" ht="15" customHeight="1" x14ac:dyDescent="0.35">
      <c r="A76" s="2"/>
      <c r="B76" s="7"/>
      <c r="C76" s="1"/>
      <c r="D76" s="1"/>
      <c r="E76" s="1"/>
      <c r="F76" s="1"/>
      <c r="G76" s="1"/>
      <c r="H76" s="5"/>
    </row>
    <row r="77" spans="1:8" ht="15" customHeight="1" x14ac:dyDescent="0.35">
      <c r="A77" s="2"/>
      <c r="B77" s="1"/>
      <c r="C77" s="1"/>
      <c r="D77" s="1"/>
      <c r="E77" s="1"/>
      <c r="F77" s="1"/>
      <c r="G77" s="1"/>
      <c r="H77" s="9"/>
    </row>
    <row r="78" spans="1:8" ht="15" customHeight="1" x14ac:dyDescent="0.35">
      <c r="A78" s="1"/>
      <c r="B78" s="6"/>
      <c r="C78" s="6"/>
      <c r="D78" s="6"/>
      <c r="E78" s="6"/>
      <c r="F78" s="6"/>
      <c r="G78" s="6"/>
      <c r="H78" s="4"/>
    </row>
    <row r="79" spans="1:8" ht="15" customHeight="1" x14ac:dyDescent="0.35">
      <c r="A79" s="2"/>
      <c r="B79" s="1"/>
      <c r="C79" s="1"/>
      <c r="D79" s="1"/>
      <c r="E79" s="1"/>
      <c r="F79" s="1"/>
      <c r="G79" s="1"/>
      <c r="H79" s="5"/>
    </row>
    <row r="80" spans="1:8" ht="15" customHeight="1" x14ac:dyDescent="0.35">
      <c r="A80" s="2"/>
      <c r="B80" s="1"/>
      <c r="C80" s="1"/>
      <c r="D80" s="1"/>
      <c r="E80" s="1"/>
      <c r="F80" s="1"/>
      <c r="G80" s="1"/>
      <c r="H80" s="1"/>
    </row>
    <row r="81" spans="1:8" ht="15" customHeight="1" x14ac:dyDescent="0.35">
      <c r="A81" s="1"/>
      <c r="B81" s="6"/>
      <c r="C81" s="6"/>
      <c r="D81" s="6"/>
      <c r="E81" s="6"/>
      <c r="F81" s="6"/>
      <c r="G81" s="6"/>
      <c r="H81" s="4"/>
    </row>
    <row r="82" spans="1:8" ht="15" customHeight="1" x14ac:dyDescent="0.35">
      <c r="A82" s="2"/>
      <c r="B82" s="1"/>
      <c r="C82" s="1"/>
      <c r="D82" s="1"/>
      <c r="E82" s="1"/>
      <c r="F82" s="1"/>
      <c r="G82" s="1"/>
      <c r="H82" s="5"/>
    </row>
    <row r="83" spans="1:8" ht="15" customHeight="1" x14ac:dyDescent="0.35">
      <c r="A83" s="2"/>
      <c r="B83" s="1"/>
      <c r="C83" s="1"/>
      <c r="D83" s="1"/>
      <c r="E83" s="1"/>
      <c r="F83" s="1"/>
      <c r="G83" s="1"/>
      <c r="H83" s="5"/>
    </row>
    <row r="84" spans="1:8" ht="15" customHeight="1" x14ac:dyDescent="0.35">
      <c r="A84" s="2"/>
      <c r="B84" s="1"/>
      <c r="C84" s="1"/>
      <c r="D84" s="1"/>
      <c r="E84" s="1"/>
      <c r="F84" s="1"/>
      <c r="G84" s="1"/>
      <c r="H84" s="5"/>
    </row>
    <row r="85" spans="1:8" ht="15" customHeight="1" x14ac:dyDescent="0.35">
      <c r="A85" s="2"/>
      <c r="B85" s="1"/>
      <c r="C85" s="1"/>
      <c r="D85" s="1"/>
      <c r="E85" s="1"/>
      <c r="F85" s="1"/>
      <c r="G85" s="1"/>
      <c r="H85" s="1"/>
    </row>
    <row r="86" spans="1:8" ht="15" customHeight="1" x14ac:dyDescent="0.35">
      <c r="A86" s="2"/>
      <c r="B86" s="1"/>
      <c r="C86" s="1"/>
      <c r="D86" s="1"/>
      <c r="E86" s="1"/>
      <c r="F86" s="1"/>
      <c r="G86" s="1"/>
      <c r="H86" s="1"/>
    </row>
    <row r="87" spans="1:8" ht="15" customHeight="1" x14ac:dyDescent="0.35">
      <c r="A87" s="2"/>
      <c r="B87" s="1"/>
      <c r="C87" s="1"/>
      <c r="D87" s="1"/>
      <c r="E87" s="1"/>
      <c r="F87" s="1"/>
      <c r="G87" s="1"/>
      <c r="H87" s="1"/>
    </row>
    <row r="88" spans="1:8" ht="15" customHeight="1" x14ac:dyDescent="0.35">
      <c r="A88" s="1"/>
      <c r="B88" s="6"/>
      <c r="C88" s="6"/>
      <c r="D88" s="6"/>
      <c r="E88" s="6"/>
      <c r="F88" s="6"/>
      <c r="G88" s="6"/>
      <c r="H88" s="4"/>
    </row>
    <row r="89" spans="1:8" ht="15" customHeight="1" x14ac:dyDescent="0.35">
      <c r="A89" s="1"/>
      <c r="B89" s="6"/>
      <c r="C89" s="6"/>
      <c r="D89" s="6"/>
      <c r="E89" s="6"/>
      <c r="F89" s="6"/>
      <c r="G89" s="6"/>
      <c r="H89" s="4"/>
    </row>
    <row r="90" spans="1:8" ht="15" customHeight="1" x14ac:dyDescent="0.35">
      <c r="A90" s="2"/>
      <c r="B90" s="1"/>
      <c r="C90" s="1"/>
      <c r="D90" s="1"/>
      <c r="E90" s="1"/>
      <c r="F90" s="1"/>
      <c r="G90" s="1"/>
      <c r="H90" s="5"/>
    </row>
    <row r="91" spans="1:8" ht="15" customHeight="1" x14ac:dyDescent="0.35">
      <c r="A91" s="2"/>
      <c r="B91" s="1"/>
      <c r="C91" s="1"/>
      <c r="D91" s="1"/>
      <c r="E91" s="1"/>
      <c r="F91" s="1"/>
      <c r="G91" s="1"/>
      <c r="H91" s="1"/>
    </row>
    <row r="92" spans="1:8" ht="15" customHeight="1" x14ac:dyDescent="0.35">
      <c r="A92" s="1"/>
      <c r="B92" s="6"/>
      <c r="C92" s="6"/>
      <c r="D92" s="6"/>
      <c r="E92" s="6"/>
      <c r="F92" s="6"/>
      <c r="G92" s="6"/>
      <c r="H92" s="4"/>
    </row>
    <row r="93" spans="1:8" ht="15" customHeight="1" x14ac:dyDescent="0.35">
      <c r="A93" s="2"/>
      <c r="B93" s="1"/>
      <c r="C93" s="1"/>
      <c r="D93" s="1"/>
      <c r="E93" s="1"/>
      <c r="F93" s="1"/>
      <c r="G93" s="1"/>
      <c r="H93" s="5"/>
    </row>
    <row r="94" spans="1:8" ht="15" customHeight="1" x14ac:dyDescent="0.35">
      <c r="A94" s="2"/>
      <c r="B94" s="1"/>
      <c r="C94" s="1"/>
      <c r="D94" s="1"/>
      <c r="E94" s="1"/>
      <c r="F94" s="1"/>
      <c r="G94" s="1"/>
      <c r="H94" s="5"/>
    </row>
    <row r="95" spans="1:8" ht="15" customHeight="1" x14ac:dyDescent="0.35">
      <c r="A95" s="2"/>
      <c r="B95" s="1"/>
      <c r="C95" s="1"/>
      <c r="D95" s="1"/>
      <c r="E95" s="1"/>
      <c r="F95" s="1"/>
      <c r="G95" s="1"/>
      <c r="H95" s="1"/>
    </row>
    <row r="96" spans="1:8" ht="15" customHeight="1" x14ac:dyDescent="0.35">
      <c r="A96" s="2"/>
      <c r="B96" s="1"/>
      <c r="C96" s="1"/>
      <c r="D96" s="1"/>
      <c r="E96" s="1"/>
      <c r="F96" s="1"/>
      <c r="G96" s="1"/>
      <c r="H96" s="1"/>
    </row>
    <row r="97" spans="1:8" ht="15" customHeight="1" x14ac:dyDescent="0.35">
      <c r="A97" s="1"/>
      <c r="B97" s="6"/>
      <c r="C97" s="6"/>
      <c r="D97" s="6"/>
      <c r="E97" s="6"/>
      <c r="F97" s="6"/>
      <c r="G97" s="6"/>
      <c r="H97" s="4"/>
    </row>
    <row r="98" spans="1:8" ht="15" customHeight="1" x14ac:dyDescent="0.35">
      <c r="A98" s="1"/>
      <c r="B98" s="6"/>
      <c r="C98" s="6"/>
      <c r="D98" s="6"/>
      <c r="E98" s="6"/>
      <c r="F98" s="6"/>
      <c r="G98" s="6"/>
      <c r="H98" s="4"/>
    </row>
    <row r="99" spans="1:8" ht="15" customHeight="1" x14ac:dyDescent="0.35">
      <c r="A99" s="2"/>
      <c r="B99" s="1"/>
      <c r="C99" s="1"/>
      <c r="D99" s="1"/>
      <c r="E99" s="1"/>
      <c r="F99" s="1"/>
      <c r="G99" s="1"/>
      <c r="H99" s="5"/>
    </row>
    <row r="100" spans="1:8" ht="15" customHeight="1" x14ac:dyDescent="0.35">
      <c r="A100" s="2"/>
      <c r="B100" s="1"/>
      <c r="C100" s="1"/>
      <c r="D100" s="1"/>
      <c r="E100" s="1"/>
      <c r="F100" s="1"/>
      <c r="G100" s="1"/>
      <c r="H100" s="1"/>
    </row>
    <row r="101" spans="1:8" ht="15" customHeight="1" x14ac:dyDescent="0.35">
      <c r="A101" s="1"/>
      <c r="B101" s="6"/>
      <c r="C101" s="6"/>
      <c r="D101" s="6"/>
      <c r="E101" s="6"/>
      <c r="F101" s="6"/>
      <c r="G101" s="6"/>
      <c r="H101" s="4"/>
    </row>
    <row r="102" spans="1:8" ht="15" customHeight="1" x14ac:dyDescent="0.35">
      <c r="A102" s="2"/>
      <c r="B102" s="1"/>
      <c r="C102" s="1"/>
      <c r="D102" s="1"/>
      <c r="E102" s="1"/>
      <c r="F102" s="1"/>
      <c r="G102" s="1"/>
      <c r="H102" s="5"/>
    </row>
    <row r="103" spans="1:8" ht="15" customHeight="1" x14ac:dyDescent="0.35">
      <c r="A103" s="2"/>
      <c r="B103" s="1"/>
      <c r="C103" s="1"/>
      <c r="D103" s="1"/>
      <c r="E103" s="1"/>
      <c r="F103" s="1"/>
      <c r="G103" s="1"/>
      <c r="H103" s="5"/>
    </row>
    <row r="104" spans="1:8" ht="15" customHeight="1" x14ac:dyDescent="0.35">
      <c r="A104" s="2"/>
      <c r="B104" s="1"/>
      <c r="C104" s="1"/>
      <c r="D104" s="1"/>
      <c r="E104" s="1"/>
      <c r="F104" s="1"/>
      <c r="G104" s="1"/>
      <c r="H104" s="5"/>
    </row>
    <row r="105" spans="1:8" ht="15" customHeight="1" x14ac:dyDescent="0.35">
      <c r="A105" s="2"/>
      <c r="B105" s="1"/>
      <c r="C105" s="1"/>
      <c r="D105" s="1"/>
      <c r="E105" s="1"/>
      <c r="F105" s="1"/>
      <c r="G105" s="1"/>
      <c r="H105" s="1"/>
    </row>
    <row r="106" spans="1:8" ht="15" customHeight="1" x14ac:dyDescent="0.35">
      <c r="A106" s="2"/>
      <c r="B106" s="1"/>
      <c r="C106" s="1"/>
      <c r="D106" s="1"/>
      <c r="E106" s="1"/>
      <c r="F106" s="1"/>
      <c r="G106" s="1"/>
      <c r="H106" s="1"/>
    </row>
    <row r="107" spans="1:8" ht="15" customHeight="1" x14ac:dyDescent="0.35">
      <c r="A107" s="2"/>
      <c r="B107" s="1"/>
      <c r="C107" s="1"/>
      <c r="D107" s="1"/>
      <c r="E107" s="1"/>
      <c r="F107" s="1"/>
      <c r="G107" s="1"/>
      <c r="H107" s="1"/>
    </row>
    <row r="108" spans="1:8" ht="15" customHeight="1" x14ac:dyDescent="0.35">
      <c r="A108" s="1"/>
      <c r="B108" s="6"/>
      <c r="C108" s="6"/>
      <c r="D108" s="6"/>
      <c r="E108" s="6"/>
      <c r="F108" s="6"/>
      <c r="G108" s="6"/>
      <c r="H108" s="4"/>
    </row>
    <row r="109" spans="1:8" ht="15" customHeight="1" x14ac:dyDescent="0.35">
      <c r="A109" s="1"/>
      <c r="B109" s="6"/>
      <c r="C109" s="6"/>
      <c r="D109" s="6"/>
      <c r="E109" s="6"/>
      <c r="F109" s="6"/>
      <c r="G109" s="6"/>
      <c r="H109" s="4"/>
    </row>
    <row r="110" spans="1:8" ht="15" customHeight="1" x14ac:dyDescent="0.35">
      <c r="A110" s="2"/>
      <c r="B110" s="1"/>
      <c r="C110" s="1"/>
      <c r="D110" s="1"/>
      <c r="E110" s="1"/>
      <c r="F110" s="1"/>
      <c r="G110" s="1"/>
      <c r="H110" s="5"/>
    </row>
    <row r="111" spans="1:8" ht="15" customHeight="1" x14ac:dyDescent="0.35">
      <c r="A111" s="2"/>
      <c r="B111" s="1"/>
      <c r="C111" s="1"/>
      <c r="D111" s="1"/>
      <c r="E111" s="1"/>
      <c r="F111" s="1"/>
      <c r="G111" s="1"/>
      <c r="H111" s="1"/>
    </row>
    <row r="112" spans="1:8" ht="15" customHeight="1" x14ac:dyDescent="0.35">
      <c r="A112" s="1"/>
      <c r="B112" s="6"/>
      <c r="C112" s="6"/>
      <c r="D112" s="6"/>
      <c r="E112" s="6"/>
      <c r="F112" s="6"/>
      <c r="G112" s="6"/>
      <c r="H112" s="4"/>
    </row>
    <row r="113" spans="1:8" ht="15" customHeight="1" x14ac:dyDescent="0.35">
      <c r="A113" s="1"/>
      <c r="B113" s="6"/>
      <c r="C113" s="6"/>
      <c r="D113" s="6"/>
      <c r="E113" s="6"/>
      <c r="F113" s="6"/>
      <c r="G113" s="6"/>
      <c r="H113" s="4"/>
    </row>
    <row r="114" spans="1:8" ht="15" customHeight="1" x14ac:dyDescent="0.35">
      <c r="A114" s="2"/>
      <c r="B114" s="1"/>
      <c r="C114" s="1"/>
      <c r="D114" s="1"/>
      <c r="E114" s="1"/>
      <c r="F114" s="1"/>
      <c r="G114" s="1"/>
      <c r="H114" s="5"/>
    </row>
    <row r="115" spans="1:8" ht="15" customHeight="1" x14ac:dyDescent="0.35">
      <c r="A115" s="2"/>
      <c r="B115" s="1"/>
      <c r="C115" s="1"/>
      <c r="D115" s="1"/>
      <c r="E115" s="1"/>
      <c r="F115" s="1"/>
      <c r="G115" s="1"/>
      <c r="H115" s="1"/>
    </row>
    <row r="116" spans="1:8" ht="15" customHeight="1" x14ac:dyDescent="0.35">
      <c r="A116" s="1"/>
      <c r="B116" s="6"/>
      <c r="C116" s="6"/>
      <c r="D116" s="6"/>
      <c r="E116" s="6"/>
      <c r="F116" s="6"/>
      <c r="G116" s="6"/>
      <c r="H116" s="4"/>
    </row>
    <row r="117" spans="1:8" ht="15" customHeight="1" x14ac:dyDescent="0.35">
      <c r="A117" s="2"/>
      <c r="B117" s="1"/>
      <c r="C117" s="1"/>
      <c r="D117" s="1"/>
      <c r="E117" s="1"/>
      <c r="F117" s="1"/>
      <c r="G117" s="1"/>
      <c r="H117" s="5"/>
    </row>
    <row r="118" spans="1:8" ht="15" customHeight="1" x14ac:dyDescent="0.35">
      <c r="A118" s="2"/>
      <c r="B118" s="1"/>
      <c r="C118" s="1"/>
      <c r="D118" s="1"/>
      <c r="E118" s="1"/>
      <c r="F118" s="1"/>
      <c r="G118" s="1"/>
      <c r="H118" s="5"/>
    </row>
    <row r="119" spans="1:8" ht="15" customHeight="1" x14ac:dyDescent="0.35">
      <c r="A119" s="2"/>
      <c r="B119" s="1"/>
      <c r="C119" s="1"/>
      <c r="D119" s="1"/>
      <c r="E119" s="1"/>
      <c r="F119" s="1"/>
      <c r="G119" s="1"/>
      <c r="H119" s="5"/>
    </row>
    <row r="120" spans="1:8" ht="15" customHeight="1" x14ac:dyDescent="0.35">
      <c r="A120" s="2"/>
      <c r="B120" s="1"/>
      <c r="C120" s="1"/>
      <c r="D120" s="1"/>
      <c r="E120" s="1"/>
      <c r="F120" s="1"/>
      <c r="G120" s="1"/>
      <c r="H120" s="1"/>
    </row>
    <row r="121" spans="1:8" ht="15" customHeight="1" x14ac:dyDescent="0.35">
      <c r="A121" s="1"/>
      <c r="B121" s="6"/>
      <c r="C121" s="6"/>
      <c r="D121" s="6"/>
      <c r="E121" s="6"/>
      <c r="F121" s="6"/>
      <c r="G121" s="6"/>
      <c r="H121" s="4"/>
    </row>
    <row r="122" spans="1:8" ht="15" customHeight="1" x14ac:dyDescent="0.35">
      <c r="A122" s="1"/>
      <c r="B122" s="6"/>
      <c r="C122" s="6"/>
      <c r="D122" s="6"/>
      <c r="E122" s="6"/>
      <c r="F122" s="6"/>
      <c r="G122" s="6"/>
      <c r="H122" s="4"/>
    </row>
    <row r="123" spans="1:8" ht="15" customHeight="1" x14ac:dyDescent="0.35">
      <c r="A123" s="1"/>
      <c r="B123" s="6"/>
      <c r="C123" s="6"/>
      <c r="D123" s="6"/>
      <c r="E123" s="6"/>
      <c r="F123" s="6"/>
      <c r="G123" s="6"/>
      <c r="H123" s="4"/>
    </row>
    <row r="124" spans="1:8" ht="15" customHeight="1" x14ac:dyDescent="0.35">
      <c r="A124" s="2"/>
      <c r="B124" s="1"/>
      <c r="C124" s="1"/>
      <c r="D124" s="1"/>
      <c r="E124" s="1"/>
      <c r="F124" s="1"/>
      <c r="G124" s="1"/>
      <c r="H124" s="5"/>
    </row>
    <row r="125" spans="1:8" ht="15" customHeight="1" x14ac:dyDescent="0.35">
      <c r="A125" s="1"/>
      <c r="B125" s="1"/>
      <c r="C125" s="1"/>
      <c r="D125" s="1"/>
      <c r="E125" s="1"/>
      <c r="F125" s="1"/>
      <c r="G125" s="1"/>
      <c r="H125" s="1"/>
    </row>
    <row r="126" spans="1:8" ht="15" customHeight="1" x14ac:dyDescent="0.35">
      <c r="A126" s="1"/>
      <c r="B126" s="1"/>
      <c r="C126" s="1"/>
      <c r="D126" s="1"/>
      <c r="E126" s="1"/>
      <c r="F126" s="1"/>
      <c r="G126" s="1"/>
      <c r="H126" s="1"/>
    </row>
    <row r="127" spans="1:8" ht="15" customHeight="1" x14ac:dyDescent="0.3">
      <c r="A127" s="42"/>
      <c r="B127" s="37"/>
      <c r="C127" s="37"/>
      <c r="D127" s="37"/>
      <c r="E127" s="37"/>
      <c r="F127" s="37"/>
      <c r="G127" s="37"/>
      <c r="H127" s="37"/>
    </row>
    <row r="128" spans="1: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A1:I1"/>
    <mergeCell ref="A2:I2"/>
    <mergeCell ref="A3:I3"/>
    <mergeCell ref="A127:H127"/>
  </mergeCells>
  <printOptions gridLines="1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2"/>
  <sheetViews>
    <sheetView tabSelected="1" topLeftCell="A2" zoomScale="106" workbookViewId="0">
      <selection activeCell="H13" sqref="H13"/>
    </sheetView>
  </sheetViews>
  <sheetFormatPr defaultColWidth="12.6640625" defaultRowHeight="15" customHeight="1" x14ac:dyDescent="0.3"/>
  <cols>
    <col min="1" max="1" width="2.33203125" customWidth="1"/>
    <col min="2" max="2" width="7.33203125" customWidth="1"/>
    <col min="3" max="3" width="58.33203125" customWidth="1"/>
    <col min="4" max="4" width="12.83203125" customWidth="1"/>
    <col min="5" max="5" width="11.33203125" customWidth="1"/>
    <col min="6" max="6" width="10.83203125" customWidth="1"/>
    <col min="7" max="7" width="14.6640625" customWidth="1"/>
    <col min="8" max="26" width="7.6640625" customWidth="1"/>
  </cols>
  <sheetData>
    <row r="1" spans="1:26" ht="15.5" x14ac:dyDescent="0.35">
      <c r="A1" s="24"/>
      <c r="B1" s="24"/>
      <c r="C1" s="25" t="s">
        <v>0</v>
      </c>
      <c r="D1" s="11"/>
      <c r="E1" s="11"/>
      <c r="F1" s="11"/>
      <c r="G1" s="11"/>
      <c r="H1" s="15"/>
    </row>
    <row r="2" spans="1:26" ht="15.5" x14ac:dyDescent="0.35">
      <c r="A2" s="24"/>
      <c r="B2" s="24"/>
      <c r="C2" s="25" t="s">
        <v>211</v>
      </c>
      <c r="D2" s="11"/>
      <c r="E2" s="11"/>
      <c r="F2" s="11"/>
      <c r="G2" s="11"/>
      <c r="H2" s="15"/>
    </row>
    <row r="3" spans="1:26" ht="15.5" x14ac:dyDescent="0.35">
      <c r="A3" s="24"/>
      <c r="B3" s="24"/>
      <c r="C3" s="25" t="s">
        <v>320</v>
      </c>
      <c r="D3" s="26">
        <v>44927</v>
      </c>
      <c r="E3" s="27" t="s">
        <v>274</v>
      </c>
      <c r="F3" s="27" t="s">
        <v>275</v>
      </c>
      <c r="G3" s="27"/>
      <c r="H3" s="15"/>
    </row>
    <row r="4" spans="1:26" ht="15.5" x14ac:dyDescent="0.35">
      <c r="A4" s="1"/>
      <c r="B4" s="1"/>
      <c r="C4" s="1"/>
      <c r="D4" s="27" t="s">
        <v>276</v>
      </c>
      <c r="E4" s="27" t="s">
        <v>312</v>
      </c>
      <c r="F4" s="27" t="s">
        <v>313</v>
      </c>
      <c r="G4" s="27" t="s">
        <v>277</v>
      </c>
      <c r="H4" s="15"/>
    </row>
    <row r="5" spans="1:26" ht="15.5" x14ac:dyDescent="0.35">
      <c r="A5" s="1"/>
      <c r="B5" s="1">
        <v>11101</v>
      </c>
      <c r="C5" s="1" t="s">
        <v>212</v>
      </c>
      <c r="D5" s="11"/>
      <c r="E5" s="11"/>
      <c r="F5" s="11">
        <v>1466.88</v>
      </c>
      <c r="G5" s="11">
        <v>171353.29</v>
      </c>
      <c r="H5" s="15"/>
    </row>
    <row r="6" spans="1:26" ht="15.5" x14ac:dyDescent="0.35">
      <c r="A6" s="1"/>
      <c r="B6" s="1">
        <v>11102</v>
      </c>
      <c r="C6" s="1" t="s">
        <v>213</v>
      </c>
      <c r="D6" s="11"/>
      <c r="E6" s="11"/>
      <c r="F6" s="11">
        <v>1638.88</v>
      </c>
      <c r="G6" s="11">
        <v>549085.97</v>
      </c>
      <c r="H6" s="15"/>
    </row>
    <row r="7" spans="1:26" ht="15.5" x14ac:dyDescent="0.35">
      <c r="A7" s="1"/>
      <c r="B7" s="1">
        <v>11103</v>
      </c>
      <c r="C7" s="1" t="s">
        <v>214</v>
      </c>
      <c r="D7" s="11"/>
      <c r="E7" s="11"/>
      <c r="F7" s="11">
        <v>4866.67</v>
      </c>
      <c r="G7" s="11">
        <v>1650920.34</v>
      </c>
      <c r="H7" s="15"/>
    </row>
    <row r="8" spans="1:26" ht="15.5" x14ac:dyDescent="0.35">
      <c r="A8" s="12"/>
      <c r="B8" s="12"/>
      <c r="C8" s="12" t="s">
        <v>215</v>
      </c>
      <c r="D8" s="13"/>
      <c r="E8" s="13"/>
      <c r="F8" s="13">
        <f>SUM(F5:F7)</f>
        <v>7972.43</v>
      </c>
      <c r="G8" s="13">
        <f>SUM(G5:G7)</f>
        <v>2371359.6</v>
      </c>
      <c r="H8" s="15"/>
    </row>
    <row r="9" spans="1:26" ht="15.5" x14ac:dyDescent="0.35">
      <c r="A9" s="1"/>
      <c r="B9" s="1"/>
      <c r="C9" s="12" t="s">
        <v>216</v>
      </c>
      <c r="D9" s="11"/>
      <c r="E9" s="11"/>
      <c r="F9" s="11"/>
      <c r="G9" s="11"/>
      <c r="H9" s="15"/>
    </row>
    <row r="10" spans="1:26" ht="15.5" x14ac:dyDescent="0.35">
      <c r="A10" s="1"/>
      <c r="B10" s="1">
        <v>21120</v>
      </c>
      <c r="C10" s="1" t="s">
        <v>217</v>
      </c>
      <c r="D10" s="11">
        <v>6500</v>
      </c>
      <c r="E10" s="11"/>
      <c r="F10" s="11"/>
      <c r="G10" s="11">
        <f>D10-E10+F10</f>
        <v>6500</v>
      </c>
      <c r="H10" s="15"/>
    </row>
    <row r="11" spans="1:26" ht="15.5" x14ac:dyDescent="0.35">
      <c r="A11" s="1"/>
      <c r="B11" s="1">
        <v>21121</v>
      </c>
      <c r="C11" s="1" t="s">
        <v>252</v>
      </c>
      <c r="D11" s="11">
        <v>0</v>
      </c>
      <c r="E11" s="13">
        <v>0</v>
      </c>
      <c r="F11" s="11"/>
      <c r="G11" s="11">
        <f t="shared" ref="G11:G27" si="0">D11-E11+F11</f>
        <v>0</v>
      </c>
      <c r="H11" s="15"/>
    </row>
    <row r="12" spans="1:26" ht="15.5" x14ac:dyDescent="0.35">
      <c r="A12" s="1"/>
      <c r="B12" s="1">
        <v>21125</v>
      </c>
      <c r="C12" s="1" t="s">
        <v>218</v>
      </c>
      <c r="D12" s="11">
        <v>4255.87</v>
      </c>
      <c r="E12" s="11"/>
      <c r="F12" s="11">
        <v>0</v>
      </c>
      <c r="G12" s="11">
        <f t="shared" si="0"/>
        <v>4255.87</v>
      </c>
      <c r="H12" s="15" t="s">
        <v>230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5" x14ac:dyDescent="0.35">
      <c r="A13" s="1"/>
      <c r="B13" s="1">
        <v>21126</v>
      </c>
      <c r="C13" s="1" t="s">
        <v>268</v>
      </c>
      <c r="D13" s="11">
        <v>3277.66</v>
      </c>
      <c r="E13" s="13">
        <v>0</v>
      </c>
      <c r="F13" s="11">
        <v>0</v>
      </c>
      <c r="G13" s="11">
        <f t="shared" si="0"/>
        <v>3277.66</v>
      </c>
      <c r="H13" s="15" t="s">
        <v>230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5" x14ac:dyDescent="0.35">
      <c r="A14" s="1"/>
      <c r="B14" s="1">
        <v>21127</v>
      </c>
      <c r="C14" s="1" t="s">
        <v>219</v>
      </c>
      <c r="D14" s="11">
        <v>11575.94</v>
      </c>
      <c r="E14" s="13">
        <v>0</v>
      </c>
      <c r="F14" s="11">
        <v>420</v>
      </c>
      <c r="G14" s="11">
        <f t="shared" si="0"/>
        <v>11995.94</v>
      </c>
      <c r="H14" s="15" t="s">
        <v>271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5" x14ac:dyDescent="0.35">
      <c r="A15" s="14"/>
      <c r="B15" s="1">
        <v>21131</v>
      </c>
      <c r="C15" s="1" t="s">
        <v>253</v>
      </c>
      <c r="D15" s="11">
        <v>102217.73</v>
      </c>
      <c r="E15" s="11">
        <v>15000</v>
      </c>
      <c r="F15" s="13">
        <v>0</v>
      </c>
      <c r="G15" s="11">
        <f t="shared" si="0"/>
        <v>87217.73</v>
      </c>
      <c r="H15" s="15" t="s">
        <v>267</v>
      </c>
    </row>
    <row r="16" spans="1:26" ht="15.5" x14ac:dyDescent="0.35">
      <c r="A16" s="1"/>
      <c r="B16" s="1">
        <v>21128</v>
      </c>
      <c r="C16" s="1" t="s">
        <v>220</v>
      </c>
      <c r="D16" s="11">
        <v>40000</v>
      </c>
      <c r="E16" s="11"/>
      <c r="F16" s="11"/>
      <c r="G16" s="11">
        <f t="shared" si="0"/>
        <v>40000</v>
      </c>
      <c r="H16" s="15"/>
    </row>
    <row r="17" spans="1:26" ht="15.5" x14ac:dyDescent="0.35">
      <c r="A17" s="1"/>
      <c r="B17" s="1">
        <v>21130</v>
      </c>
      <c r="C17" s="1" t="s">
        <v>221</v>
      </c>
      <c r="D17" s="11">
        <v>255</v>
      </c>
      <c r="E17" s="11"/>
      <c r="F17" s="11"/>
      <c r="G17" s="11">
        <f t="shared" si="0"/>
        <v>255</v>
      </c>
      <c r="H17" s="15"/>
    </row>
    <row r="18" spans="1:26" ht="15.5" x14ac:dyDescent="0.35">
      <c r="A18" s="1"/>
      <c r="B18" s="1">
        <v>21160</v>
      </c>
      <c r="C18" s="1" t="s">
        <v>222</v>
      </c>
      <c r="D18" s="11">
        <v>25000</v>
      </c>
      <c r="E18" s="11"/>
      <c r="F18" s="11"/>
      <c r="G18" s="11">
        <f t="shared" si="0"/>
        <v>25000</v>
      </c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5" x14ac:dyDescent="0.35">
      <c r="A19" s="1"/>
      <c r="B19" s="1">
        <v>21161</v>
      </c>
      <c r="C19" s="1" t="s">
        <v>254</v>
      </c>
      <c r="D19" s="11">
        <v>93109.759999999995</v>
      </c>
      <c r="E19" s="13">
        <v>0</v>
      </c>
      <c r="F19" s="13">
        <v>0</v>
      </c>
      <c r="G19" s="11">
        <f t="shared" si="0"/>
        <v>93109.759999999995</v>
      </c>
      <c r="H19" s="15" t="s">
        <v>230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5" x14ac:dyDescent="0.35">
      <c r="A20" s="1"/>
      <c r="B20" s="1">
        <v>21162</v>
      </c>
      <c r="C20" s="1" t="s">
        <v>223</v>
      </c>
      <c r="D20" s="11">
        <v>0</v>
      </c>
      <c r="E20" s="11"/>
      <c r="F20" s="11"/>
      <c r="G20" s="11">
        <f t="shared" si="0"/>
        <v>0</v>
      </c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5" x14ac:dyDescent="0.35">
      <c r="A21" s="14"/>
      <c r="B21" s="1">
        <v>21170</v>
      </c>
      <c r="C21" s="1" t="s">
        <v>224</v>
      </c>
      <c r="D21" s="11">
        <v>17922.34</v>
      </c>
      <c r="E21" s="11"/>
      <c r="F21" s="11"/>
      <c r="G21" s="11">
        <f t="shared" si="0"/>
        <v>17922.34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5" x14ac:dyDescent="0.35">
      <c r="A22" s="1"/>
      <c r="B22" s="1">
        <v>21174</v>
      </c>
      <c r="C22" s="1" t="s">
        <v>225</v>
      </c>
      <c r="D22" s="11">
        <v>9430</v>
      </c>
      <c r="E22" s="11"/>
      <c r="F22" s="11"/>
      <c r="G22" s="11">
        <f t="shared" si="0"/>
        <v>9430</v>
      </c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35">
      <c r="A23" s="1"/>
      <c r="B23" s="1">
        <v>21175</v>
      </c>
      <c r="C23" s="1" t="s">
        <v>238</v>
      </c>
      <c r="D23" s="11">
        <v>0</v>
      </c>
      <c r="E23" s="11"/>
      <c r="F23" s="28"/>
      <c r="G23" s="11">
        <f t="shared" si="0"/>
        <v>0</v>
      </c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>
        <v>21176</v>
      </c>
      <c r="C24" s="1" t="s">
        <v>226</v>
      </c>
      <c r="D24" s="11">
        <v>164748.75</v>
      </c>
      <c r="E24" s="11">
        <v>0</v>
      </c>
      <c r="G24" s="11">
        <f t="shared" si="0"/>
        <v>164748.75</v>
      </c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5" x14ac:dyDescent="0.35">
      <c r="A25" s="1"/>
      <c r="B25" s="1">
        <v>21178</v>
      </c>
      <c r="C25" s="1" t="s">
        <v>239</v>
      </c>
      <c r="D25" s="11">
        <v>0</v>
      </c>
      <c r="E25" s="11"/>
      <c r="F25" s="11"/>
      <c r="G25" s="11">
        <f t="shared" si="0"/>
        <v>0</v>
      </c>
      <c r="H25" s="15"/>
    </row>
    <row r="26" spans="1:26" ht="15.5" x14ac:dyDescent="0.35">
      <c r="A26" s="1"/>
      <c r="B26" s="1">
        <v>21180</v>
      </c>
      <c r="C26" s="1" t="s">
        <v>227</v>
      </c>
      <c r="D26" s="11">
        <v>15008</v>
      </c>
      <c r="E26" s="11"/>
      <c r="F26" s="11">
        <v>11000</v>
      </c>
      <c r="G26" s="11">
        <f t="shared" si="0"/>
        <v>26008</v>
      </c>
      <c r="H26" s="16" t="s">
        <v>311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35">
      <c r="A27" s="1"/>
      <c r="B27" s="1">
        <v>21181</v>
      </c>
      <c r="C27" s="1" t="s">
        <v>228</v>
      </c>
      <c r="D27" s="11">
        <v>35000</v>
      </c>
      <c r="E27" s="11"/>
      <c r="F27" s="11"/>
      <c r="G27" s="11">
        <f t="shared" si="0"/>
        <v>35000</v>
      </c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 t="s">
        <v>229</v>
      </c>
      <c r="C28" s="1"/>
      <c r="D28" s="11"/>
      <c r="E28" s="11"/>
      <c r="F28" s="11"/>
      <c r="G28" s="11">
        <f>SUM(G10:G27)</f>
        <v>524721.05000000005</v>
      </c>
    </row>
    <row r="29" spans="1:26" ht="15.75" customHeight="1" x14ac:dyDescent="0.35">
      <c r="A29" s="1"/>
      <c r="B29" s="1"/>
      <c r="C29" s="1"/>
      <c r="D29" s="11"/>
      <c r="E29" s="11"/>
      <c r="F29" s="11"/>
      <c r="G29" s="11"/>
    </row>
    <row r="30" spans="1:26" ht="15" hidden="1" customHeight="1" x14ac:dyDescent="0.35">
      <c r="A30" s="12"/>
      <c r="B30" s="12"/>
      <c r="C30" s="12"/>
      <c r="D30" s="13"/>
      <c r="E30" s="13"/>
      <c r="F30" s="13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35">
      <c r="A31" s="1"/>
      <c r="B31" s="1"/>
      <c r="C31" s="1"/>
      <c r="D31" s="11"/>
      <c r="E31" s="11"/>
      <c r="F31" s="11"/>
      <c r="G31" s="11"/>
    </row>
    <row r="32" spans="1:26" ht="15.75" customHeight="1" x14ac:dyDescent="0.35">
      <c r="C32" s="12"/>
    </row>
    <row r="33" spans="3:3" ht="15.75" customHeight="1" x14ac:dyDescent="0.35">
      <c r="C33" s="14" t="s">
        <v>230</v>
      </c>
    </row>
    <row r="34" spans="3:3" ht="15.75" customHeight="1" x14ac:dyDescent="0.3"/>
    <row r="35" spans="3:3" ht="15.75" customHeight="1" x14ac:dyDescent="0.3"/>
    <row r="36" spans="3:3" ht="15.75" customHeight="1" x14ac:dyDescent="0.3"/>
    <row r="37" spans="3:3" ht="15.75" customHeight="1" x14ac:dyDescent="0.3"/>
    <row r="38" spans="3:3" ht="15.75" customHeight="1" x14ac:dyDescent="0.3"/>
    <row r="39" spans="3:3" ht="15.75" customHeight="1" x14ac:dyDescent="0.3"/>
    <row r="40" spans="3:3" ht="15.75" customHeight="1" x14ac:dyDescent="0.3"/>
    <row r="41" spans="3:3" ht="15.75" customHeight="1" x14ac:dyDescent="0.3"/>
    <row r="42" spans="3:3" ht="15.75" customHeight="1" x14ac:dyDescent="0.3"/>
    <row r="43" spans="3:3" ht="15.75" customHeight="1" x14ac:dyDescent="0.3"/>
    <row r="44" spans="3:3" ht="15.75" customHeight="1" x14ac:dyDescent="0.3"/>
    <row r="45" spans="3:3" ht="15.75" customHeight="1" x14ac:dyDescent="0.3"/>
    <row r="46" spans="3:3" ht="15.75" customHeight="1" x14ac:dyDescent="0.3"/>
    <row r="47" spans="3:3" ht="15.75" customHeight="1" x14ac:dyDescent="0.3"/>
    <row r="48" spans="3: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printOptions gridLines="1"/>
  <pageMargins left="0.45" right="0.2" top="0.5" bottom="0.5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to Budget</vt:lpstr>
      <vt:lpstr>Transaction Rpt by Date</vt:lpstr>
      <vt:lpstr>Profit_Loss Trans Rpt</vt:lpstr>
      <vt:lpstr>Journal Entries</vt:lpstr>
      <vt:lpstr> Fund Balances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Mitchell</dc:creator>
  <cp:lastModifiedBy>Kendra Lederer</cp:lastModifiedBy>
  <cp:lastPrinted>2021-06-07T15:08:19Z</cp:lastPrinted>
  <dcterms:created xsi:type="dcterms:W3CDTF">2018-11-02T18:13:25Z</dcterms:created>
  <dcterms:modified xsi:type="dcterms:W3CDTF">2023-02-07T22:45:47Z</dcterms:modified>
</cp:coreProperties>
</file>